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caicedo\OneDrive - SUPERINTENDENCIA DE TRANSPORTE\Escritorio\Finan270826\000. Proye Reso Contri 2026\000.24 sep 2026-PROY RES CONTRI2026\PUBLICACION PROYECTO 25-09-2026\"/>
    </mc:Choice>
  </mc:AlternateContent>
  <xr:revisionPtr revIDLastSave="0" documentId="13_ncr:1_{988953D7-DB18-44C7-A166-8C286DFF5E7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resupuesto 2026" sheetId="1" r:id="rId1"/>
    <sheet name="Puertos " sheetId="5" r:id="rId2"/>
    <sheet name="Concesiones" sheetId="3" r:id="rId3"/>
    <sheet name="Tránsito" sheetId="4" r:id="rId4"/>
    <sheet name="CEV 2026" sheetId="6" r:id="rId5"/>
    <sheet name="Análisis Sens" sheetId="7" state="hidden" r:id="rId6"/>
  </sheets>
  <definedNames>
    <definedName name="_xlnm.Database" localSheetId="2">#REF!</definedName>
    <definedName name="_xlnm.Database" localSheetId="1">#REF!</definedName>
    <definedName name="_xlnm.Database" localSheetId="3">#REF!</definedName>
    <definedName name="_xlnm.Database">#REF!</definedName>
    <definedName name="Basededatos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6" i="6" l="1"/>
  <c r="C105" i="6"/>
  <c r="G56" i="1"/>
  <c r="F56" i="1"/>
  <c r="E56" i="1"/>
  <c r="D56" i="1"/>
  <c r="C56" i="1"/>
  <c r="H113" i="1"/>
  <c r="H108" i="1"/>
  <c r="E79" i="6"/>
  <c r="H106" i="1" l="1"/>
  <c r="B3" i="5" l="1"/>
  <c r="K11" i="5" l="1"/>
  <c r="K12" i="5"/>
  <c r="C95" i="6" l="1"/>
  <c r="G99" i="1" l="1"/>
  <c r="F99" i="1"/>
  <c r="E99" i="1"/>
  <c r="D99" i="1"/>
  <c r="C99" i="1"/>
  <c r="H107" i="1"/>
  <c r="H24" i="1"/>
  <c r="H21" i="1"/>
  <c r="H22" i="1"/>
  <c r="G63" i="1" s="1"/>
  <c r="E63" i="1" l="1"/>
  <c r="F63" i="1"/>
  <c r="C63" i="1"/>
  <c r="D63" i="1"/>
  <c r="C88" i="6"/>
  <c r="K13" i="4"/>
  <c r="K13" i="5" l="1"/>
  <c r="M11" i="5"/>
  <c r="L11" i="5"/>
  <c r="H13" i="1" l="1"/>
  <c r="G54" i="1" s="1"/>
  <c r="H14" i="1"/>
  <c r="D55" i="1" l="1"/>
  <c r="E55" i="1"/>
  <c r="F55" i="1"/>
  <c r="G55" i="1"/>
  <c r="C55" i="1"/>
  <c r="C54" i="1"/>
  <c r="D54" i="1"/>
  <c r="E54" i="1"/>
  <c r="F54" i="1"/>
  <c r="H54" i="1" l="1"/>
  <c r="K11" i="3"/>
  <c r="H35" i="1" l="1"/>
  <c r="H33" i="1"/>
  <c r="H30" i="1"/>
  <c r="H27" i="1"/>
  <c r="H26" i="1"/>
  <c r="H23" i="1"/>
  <c r="D64" i="1" s="1"/>
  <c r="H20" i="1"/>
  <c r="H19" i="1"/>
  <c r="H18" i="1"/>
  <c r="H38" i="1"/>
  <c r="D52" i="6" l="1"/>
  <c r="C53" i="6"/>
  <c r="C52" i="6"/>
  <c r="H23" i="6"/>
  <c r="E31" i="6" s="1"/>
  <c r="H22" i="6"/>
  <c r="H21" i="6"/>
  <c r="K16" i="4"/>
  <c r="S14" i="5"/>
  <c r="S13" i="5"/>
  <c r="O19" i="5"/>
  <c r="O18" i="5"/>
  <c r="O16" i="5"/>
  <c r="P16" i="5" s="1"/>
  <c r="E29" i="6" l="1"/>
  <c r="D29" i="6"/>
  <c r="C29" i="6"/>
  <c r="E30" i="6"/>
  <c r="D30" i="6"/>
  <c r="C30" i="6"/>
  <c r="H98" i="1"/>
  <c r="H97" i="1"/>
  <c r="H99" i="1" l="1"/>
  <c r="C109" i="1" s="1"/>
  <c r="C111" i="1"/>
  <c r="H32" i="1"/>
  <c r="H17" i="1"/>
  <c r="H15" i="1"/>
  <c r="H12" i="1"/>
  <c r="H11" i="1"/>
  <c r="H10" i="1"/>
  <c r="G51" i="1" s="1"/>
  <c r="F109" i="1" l="1"/>
  <c r="G109" i="1"/>
  <c r="E109" i="1"/>
  <c r="C110" i="1"/>
  <c r="D109" i="1"/>
  <c r="D110" i="1"/>
  <c r="H29" i="1"/>
  <c r="G70" i="1" s="1"/>
  <c r="H31" i="1"/>
  <c r="F72" i="1" s="1"/>
  <c r="F111" i="1"/>
  <c r="G74" i="1"/>
  <c r="F74" i="1"/>
  <c r="E74" i="1"/>
  <c r="D74" i="1"/>
  <c r="C74" i="1"/>
  <c r="G73" i="1"/>
  <c r="F73" i="1"/>
  <c r="E73" i="1"/>
  <c r="D73" i="1"/>
  <c r="C73" i="1"/>
  <c r="G71" i="1"/>
  <c r="F71" i="1"/>
  <c r="E71" i="1"/>
  <c r="D71" i="1"/>
  <c r="C71" i="1"/>
  <c r="G68" i="1"/>
  <c r="F68" i="1"/>
  <c r="E68" i="1"/>
  <c r="D68" i="1"/>
  <c r="C68" i="1"/>
  <c r="G67" i="1"/>
  <c r="F67" i="1"/>
  <c r="E67" i="1"/>
  <c r="D67" i="1"/>
  <c r="C67" i="1"/>
  <c r="G65" i="1"/>
  <c r="F65" i="1"/>
  <c r="E65" i="1"/>
  <c r="D65" i="1"/>
  <c r="C65" i="1"/>
  <c r="G64" i="1"/>
  <c r="F64" i="1"/>
  <c r="E64" i="1"/>
  <c r="C64" i="1"/>
  <c r="G61" i="1"/>
  <c r="F61" i="1"/>
  <c r="E61" i="1"/>
  <c r="D61" i="1"/>
  <c r="C61" i="1"/>
  <c r="G60" i="1"/>
  <c r="F60" i="1"/>
  <c r="E60" i="1"/>
  <c r="D60" i="1"/>
  <c r="C60" i="1"/>
  <c r="G59" i="1"/>
  <c r="F59" i="1"/>
  <c r="E59" i="1"/>
  <c r="D59" i="1"/>
  <c r="C59" i="1"/>
  <c r="G58" i="1"/>
  <c r="F58" i="1"/>
  <c r="F83" i="1" s="1"/>
  <c r="E58" i="1"/>
  <c r="D58" i="1"/>
  <c r="C58" i="1"/>
  <c r="H41" i="1"/>
  <c r="D82" i="1" s="1"/>
  <c r="H40" i="1"/>
  <c r="G81" i="1" s="1"/>
  <c r="H39" i="1"/>
  <c r="G79" i="1"/>
  <c r="H36" i="1"/>
  <c r="D77" i="1" s="1"/>
  <c r="C76" i="1"/>
  <c r="D53" i="1"/>
  <c r="E52" i="1"/>
  <c r="H8" i="1"/>
  <c r="D49" i="1" s="1"/>
  <c r="H7" i="1"/>
  <c r="S35" i="4"/>
  <c r="S26" i="4"/>
  <c r="S27" i="4"/>
  <c r="S28" i="4"/>
  <c r="S29" i="4"/>
  <c r="S30" i="4"/>
  <c r="S31" i="4"/>
  <c r="S32" i="4"/>
  <c r="S33" i="4"/>
  <c r="S34" i="4"/>
  <c r="S25" i="4"/>
  <c r="S24" i="4"/>
  <c r="O26" i="4"/>
  <c r="O27" i="4"/>
  <c r="O28" i="4"/>
  <c r="O29" i="4"/>
  <c r="O30" i="4"/>
  <c r="O31" i="4"/>
  <c r="O32" i="4"/>
  <c r="O33" i="4"/>
  <c r="O34" i="4"/>
  <c r="O25" i="4"/>
  <c r="K15" i="3"/>
  <c r="S15" i="3"/>
  <c r="S11" i="3"/>
  <c r="B3" i="3"/>
  <c r="S18" i="3"/>
  <c r="S17" i="3"/>
  <c r="S13" i="3"/>
  <c r="O17" i="3"/>
  <c r="C83" i="1" l="1"/>
  <c r="D83" i="1"/>
  <c r="G83" i="1"/>
  <c r="E83" i="1"/>
  <c r="D48" i="1"/>
  <c r="C48" i="1"/>
  <c r="E72" i="1"/>
  <c r="C72" i="1"/>
  <c r="G72" i="1"/>
  <c r="D72" i="1"/>
  <c r="D70" i="1"/>
  <c r="C70" i="1"/>
  <c r="E70" i="1"/>
  <c r="F70" i="1"/>
  <c r="H63" i="1"/>
  <c r="F49" i="1"/>
  <c r="G111" i="1"/>
  <c r="E111" i="1"/>
  <c r="G53" i="1"/>
  <c r="G49" i="1"/>
  <c r="C49" i="1"/>
  <c r="H65" i="1"/>
  <c r="H67" i="1"/>
  <c r="C77" i="1"/>
  <c r="E82" i="1"/>
  <c r="H60" i="1"/>
  <c r="E49" i="1"/>
  <c r="H58" i="1"/>
  <c r="H68" i="1"/>
  <c r="E77" i="1"/>
  <c r="C81" i="1"/>
  <c r="F82" i="1"/>
  <c r="H73" i="1"/>
  <c r="F77" i="1"/>
  <c r="D81" i="1"/>
  <c r="G82" i="1"/>
  <c r="H71" i="1"/>
  <c r="G76" i="1"/>
  <c r="G77" i="1"/>
  <c r="C82" i="1"/>
  <c r="D111" i="1"/>
  <c r="F51" i="1"/>
  <c r="E51" i="1"/>
  <c r="F79" i="1"/>
  <c r="E79" i="1"/>
  <c r="C51" i="1"/>
  <c r="H64" i="1"/>
  <c r="H74" i="1"/>
  <c r="D52" i="1"/>
  <c r="G52" i="1"/>
  <c r="C52" i="1"/>
  <c r="D80" i="1"/>
  <c r="G80" i="1"/>
  <c r="C80" i="1"/>
  <c r="D51" i="1"/>
  <c r="F52" i="1"/>
  <c r="H61" i="1"/>
  <c r="C79" i="1"/>
  <c r="E80" i="1"/>
  <c r="F48" i="1"/>
  <c r="E48" i="1"/>
  <c r="F53" i="1"/>
  <c r="E53" i="1"/>
  <c r="F76" i="1"/>
  <c r="E76" i="1"/>
  <c r="F81" i="1"/>
  <c r="E81" i="1"/>
  <c r="G48" i="1"/>
  <c r="C53" i="1"/>
  <c r="H59" i="1"/>
  <c r="D76" i="1"/>
  <c r="D79" i="1"/>
  <c r="F80" i="1"/>
  <c r="O35" i="5"/>
  <c r="R24" i="5"/>
  <c r="P22" i="5"/>
  <c r="Q22" i="5"/>
  <c r="R22" i="5"/>
  <c r="P23" i="5"/>
  <c r="Q23" i="5"/>
  <c r="R23" i="5"/>
  <c r="P24" i="5"/>
  <c r="Q24" i="5"/>
  <c r="P25" i="5"/>
  <c r="Q25" i="5"/>
  <c r="R25" i="5"/>
  <c r="P26" i="5"/>
  <c r="Q26" i="5"/>
  <c r="R26" i="5"/>
  <c r="P27" i="5"/>
  <c r="Q27" i="5"/>
  <c r="R27" i="5"/>
  <c r="P28" i="5"/>
  <c r="Q28" i="5"/>
  <c r="R28" i="5"/>
  <c r="P29" i="5"/>
  <c r="Q29" i="5"/>
  <c r="R29" i="5"/>
  <c r="P30" i="5"/>
  <c r="Q30" i="5"/>
  <c r="R30" i="5"/>
  <c r="P31" i="5"/>
  <c r="Q31" i="5"/>
  <c r="R31" i="5"/>
  <c r="P32" i="5"/>
  <c r="Q32" i="5"/>
  <c r="R32" i="5"/>
  <c r="P33" i="5"/>
  <c r="Q33" i="5"/>
  <c r="R33" i="5"/>
  <c r="P34" i="5"/>
  <c r="Q34" i="5"/>
  <c r="R34" i="5"/>
  <c r="K28" i="5"/>
  <c r="H72" i="1" l="1"/>
  <c r="H70" i="1"/>
  <c r="H77" i="1"/>
  <c r="H82" i="1"/>
  <c r="H49" i="1"/>
  <c r="E110" i="1"/>
  <c r="F110" i="1"/>
  <c r="G110" i="1"/>
  <c r="G89" i="1"/>
  <c r="H89" i="1" s="1"/>
  <c r="H56" i="1"/>
  <c r="H76" i="1"/>
  <c r="H55" i="1"/>
  <c r="H80" i="1"/>
  <c r="F112" i="1"/>
  <c r="H81" i="1"/>
  <c r="H48" i="1"/>
  <c r="H53" i="1"/>
  <c r="E112" i="1"/>
  <c r="H79" i="1"/>
  <c r="H52" i="1"/>
  <c r="H51" i="1"/>
  <c r="N25" i="5"/>
  <c r="L15" i="5"/>
  <c r="M15" i="5" s="1"/>
  <c r="N12" i="5"/>
  <c r="M12" i="5"/>
  <c r="L12" i="5"/>
  <c r="N11" i="5"/>
  <c r="K14" i="5"/>
  <c r="L14" i="5" s="1"/>
  <c r="N13" i="5"/>
  <c r="C112" i="1" l="1"/>
  <c r="C113" i="1" s="1"/>
  <c r="F113" i="1"/>
  <c r="E113" i="1"/>
  <c r="C88" i="1"/>
  <c r="D88" i="1"/>
  <c r="D112" i="1"/>
  <c r="D113" i="1" s="1"/>
  <c r="G112" i="1"/>
  <c r="G113" i="1" s="1"/>
  <c r="F88" i="1"/>
  <c r="H83" i="1"/>
  <c r="E88" i="1"/>
  <c r="M13" i="5"/>
  <c r="L13" i="5"/>
  <c r="P21" i="7"/>
  <c r="O22" i="7"/>
  <c r="O20" i="7"/>
  <c r="O19" i="7" s="1"/>
  <c r="O18" i="7" s="1"/>
  <c r="O17" i="7" s="1"/>
  <c r="O16" i="7" s="1"/>
  <c r="H22" i="7"/>
  <c r="H20" i="7"/>
  <c r="H19" i="7" s="1"/>
  <c r="A36" i="7"/>
  <c r="A34" i="7"/>
  <c r="A33" i="7" s="1"/>
  <c r="A32" i="7" s="1"/>
  <c r="A31" i="7" s="1"/>
  <c r="A30" i="7" s="1"/>
  <c r="A22" i="7"/>
  <c r="A20" i="7"/>
  <c r="A19" i="7"/>
  <c r="H88" i="1" l="1"/>
  <c r="E91" i="1" s="1"/>
  <c r="P22" i="7"/>
  <c r="P20" i="7"/>
  <c r="P19" i="7"/>
  <c r="P16" i="7"/>
  <c r="P18" i="7"/>
  <c r="P17" i="7"/>
  <c r="O23" i="7"/>
  <c r="P23" i="7" s="1"/>
  <c r="H18" i="7"/>
  <c r="H23" i="7"/>
  <c r="A37" i="7"/>
  <c r="A23" i="7"/>
  <c r="A18" i="7"/>
  <c r="C91" i="1" l="1"/>
  <c r="E90" i="1"/>
  <c r="E117" i="1"/>
  <c r="E118" i="1" s="1"/>
  <c r="F91" i="1"/>
  <c r="D91" i="1"/>
  <c r="O24" i="7"/>
  <c r="P24" i="7" s="1"/>
  <c r="H24" i="7"/>
  <c r="H17" i="7"/>
  <c r="A38" i="7"/>
  <c r="A17" i="7"/>
  <c r="A24" i="7"/>
  <c r="H91" i="1" l="1"/>
  <c r="C117" i="1"/>
  <c r="C114" i="1"/>
  <c r="C115" i="1" s="1"/>
  <c r="D117" i="1"/>
  <c r="D118" i="1" s="1"/>
  <c r="D90" i="1"/>
  <c r="C90" i="1"/>
  <c r="F117" i="1"/>
  <c r="F118" i="1" s="1"/>
  <c r="F90" i="1"/>
  <c r="O25" i="7"/>
  <c r="P25" i="7" s="1"/>
  <c r="H16" i="7"/>
  <c r="H25" i="7"/>
  <c r="A39" i="7"/>
  <c r="A25" i="7"/>
  <c r="A16" i="7"/>
  <c r="H117" i="1" l="1"/>
  <c r="C118" i="1"/>
  <c r="H118" i="1" s="1"/>
  <c r="H90" i="1"/>
  <c r="O26" i="7"/>
  <c r="P26" i="7" s="1"/>
  <c r="H26" i="7"/>
  <c r="A40" i="7"/>
  <c r="A26" i="7"/>
  <c r="C119" i="1" l="1"/>
  <c r="C124" i="1" s="1"/>
  <c r="B21" i="7"/>
  <c r="I21" i="7"/>
  <c r="C39" i="6" l="1"/>
  <c r="B19" i="7"/>
  <c r="B22" i="7"/>
  <c r="B18" i="7"/>
  <c r="B23" i="7"/>
  <c r="B20" i="7"/>
  <c r="B24" i="7"/>
  <c r="B17" i="7"/>
  <c r="B16" i="7"/>
  <c r="B25" i="7"/>
  <c r="B26" i="7"/>
  <c r="I20" i="7"/>
  <c r="I19" i="7"/>
  <c r="I22" i="7"/>
  <c r="I18" i="7"/>
  <c r="I23" i="7"/>
  <c r="I17" i="7"/>
  <c r="I24" i="7"/>
  <c r="I16" i="7"/>
  <c r="I25" i="7"/>
  <c r="I26" i="7"/>
  <c r="P7" i="7" l="1"/>
  <c r="O8" i="7"/>
  <c r="O6" i="7"/>
  <c r="I7" i="7"/>
  <c r="I6" i="7" s="1"/>
  <c r="H8" i="7"/>
  <c r="H6" i="7"/>
  <c r="H5" i="7"/>
  <c r="B7" i="7" a="1"/>
  <c r="B7" i="7" s="1"/>
  <c r="A8" i="7"/>
  <c r="A9" i="7" s="1"/>
  <c r="A10" i="7" s="1"/>
  <c r="A11" i="7" s="1"/>
  <c r="A12" i="7" s="1"/>
  <c r="A6" i="7"/>
  <c r="A5" i="7" s="1"/>
  <c r="A4" i="7" s="1"/>
  <c r="A3" i="7" s="1"/>
  <c r="A2" i="7" s="1"/>
  <c r="I5" i="7" l="1"/>
  <c r="P6" i="7"/>
  <c r="I8" i="7"/>
  <c r="P8" i="7"/>
  <c r="H4" i="7"/>
  <c r="I4" i="7" s="1"/>
  <c r="O5" i="7"/>
  <c r="O9" i="7"/>
  <c r="P9" i="7" s="1"/>
  <c r="H9" i="7"/>
  <c r="I9" i="7" s="1"/>
  <c r="B10" i="7"/>
  <c r="B2" i="7"/>
  <c r="B6" i="7"/>
  <c r="B12" i="7"/>
  <c r="B4" i="7"/>
  <c r="B9" i="7"/>
  <c r="B8" i="7"/>
  <c r="B5" i="7"/>
  <c r="B11" i="7"/>
  <c r="B3" i="7"/>
  <c r="C54" i="6"/>
  <c r="T12" i="5"/>
  <c r="N41" i="4"/>
  <c r="M41" i="4"/>
  <c r="L41" i="4"/>
  <c r="N40" i="4"/>
  <c r="M40" i="4"/>
  <c r="L40" i="4"/>
  <c r="N39" i="4"/>
  <c r="M39" i="4"/>
  <c r="L39" i="4"/>
  <c r="N38" i="4"/>
  <c r="M38" i="4"/>
  <c r="L38" i="4"/>
  <c r="N37" i="4"/>
  <c r="M37" i="4"/>
  <c r="L37" i="4"/>
  <c r="N36" i="4"/>
  <c r="M36" i="4"/>
  <c r="L36" i="4"/>
  <c r="N35" i="4"/>
  <c r="M35" i="4"/>
  <c r="L35" i="4"/>
  <c r="N34" i="4"/>
  <c r="M34" i="4"/>
  <c r="L34" i="4"/>
  <c r="N33" i="4"/>
  <c r="M33" i="4"/>
  <c r="L33" i="4"/>
  <c r="N32" i="4"/>
  <c r="M32" i="4"/>
  <c r="L32" i="4"/>
  <c r="N31" i="4"/>
  <c r="M31" i="4"/>
  <c r="L31" i="4"/>
  <c r="N30" i="4"/>
  <c r="M30" i="4"/>
  <c r="L30" i="4"/>
  <c r="N29" i="4"/>
  <c r="M29" i="4"/>
  <c r="L29" i="4"/>
  <c r="N28" i="4"/>
  <c r="M28" i="4"/>
  <c r="L28" i="4"/>
  <c r="N27" i="4"/>
  <c r="M27" i="4"/>
  <c r="L27" i="4"/>
  <c r="N26" i="4"/>
  <c r="M26" i="4"/>
  <c r="L26" i="4"/>
  <c r="N25" i="4"/>
  <c r="M25" i="4"/>
  <c r="L25" i="4"/>
  <c r="R24" i="4"/>
  <c r="Q24" i="4"/>
  <c r="P24" i="4"/>
  <c r="R23" i="4"/>
  <c r="Q23" i="4"/>
  <c r="P23" i="4"/>
  <c r="R22" i="4"/>
  <c r="Q22" i="4"/>
  <c r="P22" i="4"/>
  <c r="R21" i="4"/>
  <c r="Q21" i="4"/>
  <c r="P21" i="4"/>
  <c r="R20" i="4"/>
  <c r="Q20" i="4"/>
  <c r="P20" i="4"/>
  <c r="R19" i="4"/>
  <c r="Q19" i="4"/>
  <c r="P19" i="4"/>
  <c r="R18" i="4"/>
  <c r="Q18" i="4"/>
  <c r="P18" i="4"/>
  <c r="R17" i="4"/>
  <c r="Q17" i="4"/>
  <c r="P17" i="4"/>
  <c r="R16" i="4"/>
  <c r="Q16" i="4"/>
  <c r="P16" i="4"/>
  <c r="P14" i="4"/>
  <c r="Q14" i="4" s="1"/>
  <c r="R14" i="4" s="1"/>
  <c r="P13" i="4"/>
  <c r="N41" i="3"/>
  <c r="M41" i="3"/>
  <c r="L41" i="3"/>
  <c r="N40" i="3"/>
  <c r="M40" i="3"/>
  <c r="L40" i="3"/>
  <c r="L39" i="3"/>
  <c r="M39" i="3" s="1"/>
  <c r="N39" i="3" s="1"/>
  <c r="L38" i="3"/>
  <c r="M38" i="3" s="1"/>
  <c r="N38" i="3" s="1"/>
  <c r="L37" i="3"/>
  <c r="M37" i="3" s="1"/>
  <c r="N37" i="3" s="1"/>
  <c r="L36" i="3"/>
  <c r="M36" i="3" s="1"/>
  <c r="N36" i="3" s="1"/>
  <c r="L35" i="3"/>
  <c r="M35" i="3" s="1"/>
  <c r="N35" i="3" s="1"/>
  <c r="L34" i="3"/>
  <c r="M34" i="3" s="1"/>
  <c r="N34" i="3" s="1"/>
  <c r="L33" i="3"/>
  <c r="M33" i="3" s="1"/>
  <c r="N33" i="3" s="1"/>
  <c r="L32" i="3"/>
  <c r="M32" i="3" s="1"/>
  <c r="N32" i="3" s="1"/>
  <c r="L31" i="3"/>
  <c r="M31" i="3" s="1"/>
  <c r="N31" i="3" s="1"/>
  <c r="L30" i="3"/>
  <c r="M30" i="3" s="1"/>
  <c r="N30" i="3" s="1"/>
  <c r="R29" i="3"/>
  <c r="Q29" i="3"/>
  <c r="P29" i="3"/>
  <c r="R28" i="3"/>
  <c r="Q28" i="3"/>
  <c r="P28" i="3"/>
  <c r="R27" i="3"/>
  <c r="Q27" i="3"/>
  <c r="P27" i="3"/>
  <c r="R26" i="3"/>
  <c r="Q26" i="3"/>
  <c r="P26" i="3"/>
  <c r="R25" i="3"/>
  <c r="Q25" i="3"/>
  <c r="P25" i="3"/>
  <c r="R24" i="3"/>
  <c r="Q24" i="3"/>
  <c r="P24" i="3"/>
  <c r="R23" i="3"/>
  <c r="Q23" i="3"/>
  <c r="P23" i="3"/>
  <c r="R22" i="3"/>
  <c r="Q22" i="3"/>
  <c r="P22" i="3"/>
  <c r="R21" i="3"/>
  <c r="Q21" i="3"/>
  <c r="P21" i="3"/>
  <c r="V20" i="3"/>
  <c r="U20" i="3"/>
  <c r="T20" i="3"/>
  <c r="R20" i="3"/>
  <c r="Q20" i="3"/>
  <c r="P20" i="3"/>
  <c r="L20" i="3"/>
  <c r="M20" i="3" s="1"/>
  <c r="N20" i="3" s="1"/>
  <c r="L19" i="3"/>
  <c r="M19" i="3" s="1"/>
  <c r="N19" i="3" s="1"/>
  <c r="L18" i="3"/>
  <c r="M18" i="3" s="1"/>
  <c r="N18" i="3" s="1"/>
  <c r="L17" i="3"/>
  <c r="M17" i="3" s="1"/>
  <c r="N17" i="3" s="1"/>
  <c r="V16" i="3"/>
  <c r="U16" i="3"/>
  <c r="T16" i="3"/>
  <c r="R16" i="3"/>
  <c r="Q16" i="3"/>
  <c r="P16" i="3"/>
  <c r="L16" i="3"/>
  <c r="M16" i="3" s="1"/>
  <c r="N16" i="3" s="1"/>
  <c r="V15" i="3"/>
  <c r="U15" i="3"/>
  <c r="T15" i="3"/>
  <c r="R15" i="3"/>
  <c r="Q15" i="3"/>
  <c r="P15" i="3"/>
  <c r="N15" i="3"/>
  <c r="M15" i="3"/>
  <c r="L15" i="3"/>
  <c r="R14" i="3"/>
  <c r="Q14" i="3"/>
  <c r="P14" i="3"/>
  <c r="R13" i="3"/>
  <c r="Q13" i="3"/>
  <c r="P13" i="3"/>
  <c r="R12" i="3"/>
  <c r="Q12" i="3"/>
  <c r="P12" i="3"/>
  <c r="V11" i="3"/>
  <c r="U11" i="3"/>
  <c r="T11" i="3"/>
  <c r="R11" i="3"/>
  <c r="Q11" i="3"/>
  <c r="P11" i="3"/>
  <c r="N11" i="3"/>
  <c r="M11" i="3"/>
  <c r="L11" i="3"/>
  <c r="N38" i="5"/>
  <c r="M38" i="5"/>
  <c r="L38" i="5"/>
  <c r="N37" i="5"/>
  <c r="M37" i="5"/>
  <c r="L37" i="5"/>
  <c r="N36" i="5"/>
  <c r="M36" i="5"/>
  <c r="L36" i="5"/>
  <c r="N35" i="5"/>
  <c r="M35" i="5"/>
  <c r="L35" i="5"/>
  <c r="K33" i="5"/>
  <c r="N33" i="5" s="1"/>
  <c r="V27" i="5"/>
  <c r="U27" i="5"/>
  <c r="T27" i="5"/>
  <c r="N27" i="5"/>
  <c r="M27" i="5"/>
  <c r="L27" i="5"/>
  <c r="V26" i="5"/>
  <c r="U26" i="5"/>
  <c r="T26" i="5"/>
  <c r="N26" i="5"/>
  <c r="M26" i="5"/>
  <c r="L26" i="5"/>
  <c r="V25" i="5"/>
  <c r="U25" i="5"/>
  <c r="T25" i="5"/>
  <c r="M25" i="5"/>
  <c r="L25" i="5"/>
  <c r="V24" i="5"/>
  <c r="U24" i="5"/>
  <c r="T24" i="5"/>
  <c r="N24" i="5"/>
  <c r="M24" i="5"/>
  <c r="L24" i="5"/>
  <c r="V23" i="5"/>
  <c r="U23" i="5"/>
  <c r="T23" i="5"/>
  <c r="N23" i="5"/>
  <c r="M23" i="5"/>
  <c r="L23" i="5"/>
  <c r="V22" i="5"/>
  <c r="U22" i="5"/>
  <c r="T22" i="5"/>
  <c r="N22" i="5"/>
  <c r="M22" i="5"/>
  <c r="L22" i="5"/>
  <c r="L21" i="5"/>
  <c r="M21" i="5" s="1"/>
  <c r="N21" i="5" s="1"/>
  <c r="L20" i="5"/>
  <c r="M20" i="5" s="1"/>
  <c r="N20" i="5" s="1"/>
  <c r="L19" i="5"/>
  <c r="M19" i="5" s="1"/>
  <c r="N19" i="5" s="1"/>
  <c r="L18" i="5"/>
  <c r="M18" i="5" s="1"/>
  <c r="N18" i="5" s="1"/>
  <c r="V17" i="5"/>
  <c r="U17" i="5"/>
  <c r="T17" i="5"/>
  <c r="R17" i="5"/>
  <c r="Q17" i="5"/>
  <c r="P17" i="5"/>
  <c r="L17" i="5"/>
  <c r="M17" i="5" s="1"/>
  <c r="N17" i="5" s="1"/>
  <c r="L16" i="5"/>
  <c r="M16" i="5" s="1"/>
  <c r="N16" i="5" s="1"/>
  <c r="V15" i="5"/>
  <c r="U15" i="5"/>
  <c r="T15" i="5"/>
  <c r="R15" i="5"/>
  <c r="Q15" i="5"/>
  <c r="P15" i="5"/>
  <c r="N15" i="5"/>
  <c r="V14" i="5"/>
  <c r="R14" i="5"/>
  <c r="Q14" i="5"/>
  <c r="P14" i="5"/>
  <c r="N14" i="5"/>
  <c r="V13" i="5"/>
  <c r="R13" i="5"/>
  <c r="Q13" i="5"/>
  <c r="P13" i="5"/>
  <c r="V12" i="5"/>
  <c r="U12" i="5"/>
  <c r="R12" i="5"/>
  <c r="Q12" i="5"/>
  <c r="P12" i="5"/>
  <c r="V11" i="5"/>
  <c r="U11" i="5"/>
  <c r="T11" i="5"/>
  <c r="R11" i="5"/>
  <c r="Q11" i="5"/>
  <c r="P11" i="5"/>
  <c r="S35" i="5"/>
  <c r="K31" i="5"/>
  <c r="N31" i="5" s="1"/>
  <c r="H3" i="7" l="1"/>
  <c r="S22" i="4"/>
  <c r="S23" i="4"/>
  <c r="K22" i="4"/>
  <c r="K23" i="4"/>
  <c r="K24" i="4"/>
  <c r="K21" i="4"/>
  <c r="S21" i="4"/>
  <c r="E52" i="6"/>
  <c r="K18" i="4"/>
  <c r="L18" i="4" s="1"/>
  <c r="M18" i="4" s="1"/>
  <c r="N18" i="4" s="1"/>
  <c r="K19" i="4"/>
  <c r="K20" i="4"/>
  <c r="L20" i="4" s="1"/>
  <c r="M20" i="4" s="1"/>
  <c r="N20" i="4" s="1"/>
  <c r="L16" i="4"/>
  <c r="M16" i="4" s="1"/>
  <c r="N16" i="4" s="1"/>
  <c r="K14" i="4"/>
  <c r="K17" i="4"/>
  <c r="S17" i="4"/>
  <c r="S18" i="4"/>
  <c r="S19" i="4"/>
  <c r="S14" i="4"/>
  <c r="S20" i="4"/>
  <c r="S13" i="4"/>
  <c r="S16" i="4"/>
  <c r="E54" i="6"/>
  <c r="O39" i="4"/>
  <c r="Q39" i="4" s="1"/>
  <c r="B3" i="4"/>
  <c r="E53" i="6"/>
  <c r="D54" i="6"/>
  <c r="O30" i="3"/>
  <c r="Q30" i="3" s="1"/>
  <c r="K26" i="3"/>
  <c r="M26" i="3" s="1"/>
  <c r="K21" i="3"/>
  <c r="D53" i="6"/>
  <c r="P5" i="7"/>
  <c r="O4" i="7"/>
  <c r="H2" i="7"/>
  <c r="I2" i="7" s="1"/>
  <c r="I3" i="7"/>
  <c r="O10" i="7"/>
  <c r="P10" i="7" s="1"/>
  <c r="H10" i="7"/>
  <c r="I10" i="7" s="1"/>
  <c r="K12" i="3"/>
  <c r="N12" i="3" s="1"/>
  <c r="O20" i="5"/>
  <c r="Q20" i="5" s="1"/>
  <c r="K22" i="3"/>
  <c r="N22" i="3" s="1"/>
  <c r="O21" i="5"/>
  <c r="Q13" i="4"/>
  <c r="K29" i="5"/>
  <c r="N29" i="5" s="1"/>
  <c r="O40" i="3"/>
  <c r="P40" i="3" s="1"/>
  <c r="O35" i="4"/>
  <c r="Q35" i="4" s="1"/>
  <c r="O15" i="4"/>
  <c r="Q15" i="4" s="1"/>
  <c r="K29" i="3"/>
  <c r="M29" i="3" s="1"/>
  <c r="R17" i="3"/>
  <c r="N28" i="5"/>
  <c r="K32" i="5"/>
  <c r="N32" i="5" s="1"/>
  <c r="S21" i="5"/>
  <c r="V21" i="5" s="1"/>
  <c r="S29" i="5"/>
  <c r="V29" i="5" s="1"/>
  <c r="S33" i="5"/>
  <c r="V33" i="5" s="1"/>
  <c r="S37" i="5"/>
  <c r="K30" i="5"/>
  <c r="N30" i="5" s="1"/>
  <c r="K34" i="5"/>
  <c r="N34" i="5" s="1"/>
  <c r="S28" i="5"/>
  <c r="V28" i="5" s="1"/>
  <c r="S30" i="5"/>
  <c r="V30" i="5" s="1"/>
  <c r="S34" i="5"/>
  <c r="V34" i="5" s="1"/>
  <c r="S32" i="5"/>
  <c r="V32" i="5" s="1"/>
  <c r="T14" i="5"/>
  <c r="O38" i="5"/>
  <c r="R38" i="5" s="1"/>
  <c r="U14" i="5"/>
  <c r="S20" i="5"/>
  <c r="T20" i="5" s="1"/>
  <c r="S31" i="5"/>
  <c r="V31" i="5" s="1"/>
  <c r="O37" i="5"/>
  <c r="P37" i="5" s="1"/>
  <c r="S38" i="5"/>
  <c r="V38" i="5" s="1"/>
  <c r="O41" i="4"/>
  <c r="O37" i="4"/>
  <c r="O38" i="4"/>
  <c r="O40" i="4"/>
  <c r="O36" i="4"/>
  <c r="S15" i="4"/>
  <c r="S41" i="3"/>
  <c r="S37" i="3"/>
  <c r="S31" i="3"/>
  <c r="S27" i="3"/>
  <c r="S23" i="3"/>
  <c r="S24" i="3"/>
  <c r="S36" i="3"/>
  <c r="S35" i="3"/>
  <c r="S32" i="3"/>
  <c r="S30" i="3"/>
  <c r="S12" i="3"/>
  <c r="S40" i="3"/>
  <c r="S28" i="3"/>
  <c r="S21" i="3"/>
  <c r="S29" i="3"/>
  <c r="S26" i="3"/>
  <c r="S22" i="3"/>
  <c r="K24" i="3"/>
  <c r="K28" i="3"/>
  <c r="K13" i="3"/>
  <c r="O41" i="3"/>
  <c r="O37" i="3"/>
  <c r="O31" i="3"/>
  <c r="O36" i="3"/>
  <c r="O35" i="3"/>
  <c r="O32" i="3"/>
  <c r="O33" i="3" s="1"/>
  <c r="O18" i="3"/>
  <c r="K23" i="3"/>
  <c r="K27" i="3"/>
  <c r="P35" i="5"/>
  <c r="R35" i="5"/>
  <c r="Q35" i="5"/>
  <c r="T35" i="5"/>
  <c r="V35" i="5"/>
  <c r="U35" i="5"/>
  <c r="T13" i="5"/>
  <c r="U13" i="5"/>
  <c r="M14" i="5"/>
  <c r="S19" i="5"/>
  <c r="M28" i="5"/>
  <c r="M31" i="5"/>
  <c r="M33" i="5"/>
  <c r="O36" i="5"/>
  <c r="S36" i="5"/>
  <c r="L28" i="5"/>
  <c r="L31" i="5"/>
  <c r="L33" i="5"/>
  <c r="S16" i="5"/>
  <c r="S18" i="5"/>
  <c r="N26" i="3" l="1"/>
  <c r="U30" i="5"/>
  <c r="L26" i="3"/>
  <c r="N13" i="4"/>
  <c r="M13" i="4"/>
  <c r="L13" i="4"/>
  <c r="N39" i="5"/>
  <c r="AB3" i="5" s="1"/>
  <c r="T30" i="5"/>
  <c r="U21" i="5"/>
  <c r="N24" i="4"/>
  <c r="R15" i="4"/>
  <c r="M21" i="4"/>
  <c r="M22" i="4"/>
  <c r="N23" i="4"/>
  <c r="L17" i="4"/>
  <c r="M17" i="4" s="1"/>
  <c r="N17" i="4" s="1"/>
  <c r="P35" i="4"/>
  <c r="R35" i="4"/>
  <c r="L19" i="4"/>
  <c r="M19" i="4" s="1"/>
  <c r="N19" i="4" s="1"/>
  <c r="L24" i="4"/>
  <c r="R39" i="4"/>
  <c r="P39" i="4"/>
  <c r="M24" i="4"/>
  <c r="U31" i="5"/>
  <c r="T29" i="5"/>
  <c r="T21" i="5"/>
  <c r="U29" i="5"/>
  <c r="T28" i="5"/>
  <c r="U28" i="5"/>
  <c r="T31" i="5"/>
  <c r="R21" i="5"/>
  <c r="P21" i="5"/>
  <c r="Q21" i="5"/>
  <c r="P20" i="5"/>
  <c r="M30" i="5"/>
  <c r="M32" i="5"/>
  <c r="L30" i="5"/>
  <c r="P30" i="3"/>
  <c r="R30" i="3"/>
  <c r="M12" i="3"/>
  <c r="L29" i="3"/>
  <c r="L12" i="3"/>
  <c r="L22" i="3"/>
  <c r="P17" i="3"/>
  <c r="Q17" i="3"/>
  <c r="Q40" i="3"/>
  <c r="P4" i="7"/>
  <c r="O3" i="7"/>
  <c r="O11" i="7"/>
  <c r="P11" i="7" s="1"/>
  <c r="H11" i="7"/>
  <c r="I11" i="7" s="1"/>
  <c r="L32" i="5"/>
  <c r="R40" i="3"/>
  <c r="M22" i="3"/>
  <c r="M34" i="5"/>
  <c r="M29" i="5"/>
  <c r="P38" i="5"/>
  <c r="P15" i="4"/>
  <c r="R20" i="5"/>
  <c r="R13" i="4"/>
  <c r="L34" i="5"/>
  <c r="L29" i="5"/>
  <c r="Q38" i="5"/>
  <c r="N29" i="3"/>
  <c r="T32" i="5"/>
  <c r="T33" i="5"/>
  <c r="T34" i="5"/>
  <c r="U37" i="5"/>
  <c r="V37" i="5"/>
  <c r="U34" i="5"/>
  <c r="U20" i="5"/>
  <c r="V20" i="5"/>
  <c r="Q37" i="5"/>
  <c r="R37" i="5"/>
  <c r="U38" i="5"/>
  <c r="U33" i="5"/>
  <c r="T38" i="5"/>
  <c r="T37" i="5"/>
  <c r="U32" i="5"/>
  <c r="P38" i="4"/>
  <c r="R38" i="4"/>
  <c r="Q38" i="4"/>
  <c r="R40" i="4"/>
  <c r="Q40" i="4"/>
  <c r="P40" i="4"/>
  <c r="R41" i="4"/>
  <c r="Q41" i="4"/>
  <c r="P41" i="4"/>
  <c r="M14" i="4"/>
  <c r="L14" i="4"/>
  <c r="N14" i="4"/>
  <c r="S41" i="4"/>
  <c r="S37" i="4"/>
  <c r="U35" i="4"/>
  <c r="S38" i="4"/>
  <c r="T35" i="4"/>
  <c r="V35" i="4"/>
  <c r="S39" i="4"/>
  <c r="S40" i="4"/>
  <c r="S36" i="4"/>
  <c r="V15" i="4"/>
  <c r="U15" i="4"/>
  <c r="T15" i="4"/>
  <c r="R36" i="4"/>
  <c r="Q36" i="4"/>
  <c r="P36" i="4"/>
  <c r="R37" i="4"/>
  <c r="Q37" i="4"/>
  <c r="P37" i="4"/>
  <c r="M23" i="4"/>
  <c r="L23" i="4"/>
  <c r="Q35" i="3"/>
  <c r="P35" i="3"/>
  <c r="R35" i="3"/>
  <c r="Q41" i="3"/>
  <c r="P41" i="3"/>
  <c r="R41" i="3"/>
  <c r="V22" i="3"/>
  <c r="U22" i="3"/>
  <c r="T22" i="3"/>
  <c r="U12" i="3"/>
  <c r="V12" i="3"/>
  <c r="T12" i="3"/>
  <c r="V23" i="3"/>
  <c r="U23" i="3"/>
  <c r="T23" i="3"/>
  <c r="U21" i="3"/>
  <c r="T21" i="3"/>
  <c r="V21" i="3"/>
  <c r="S38" i="3"/>
  <c r="U37" i="3"/>
  <c r="T37" i="3"/>
  <c r="V37" i="3"/>
  <c r="N27" i="3"/>
  <c r="M27" i="3"/>
  <c r="L27" i="3"/>
  <c r="P18" i="3"/>
  <c r="O19" i="3"/>
  <c r="R18" i="3"/>
  <c r="Q18" i="3"/>
  <c r="L28" i="3"/>
  <c r="M28" i="3"/>
  <c r="N28" i="3"/>
  <c r="V29" i="3"/>
  <c r="U29" i="3"/>
  <c r="T29" i="3"/>
  <c r="U28" i="3"/>
  <c r="T28" i="3"/>
  <c r="V28" i="3"/>
  <c r="U32" i="3"/>
  <c r="V32" i="3"/>
  <c r="T32" i="3"/>
  <c r="S33" i="3"/>
  <c r="T24" i="3"/>
  <c r="U24" i="3"/>
  <c r="S25" i="3"/>
  <c r="V24" i="3"/>
  <c r="V31" i="3"/>
  <c r="U31" i="3"/>
  <c r="T31" i="3"/>
  <c r="V41" i="3"/>
  <c r="U41" i="3"/>
  <c r="T41" i="3"/>
  <c r="R31" i="3"/>
  <c r="P31" i="3"/>
  <c r="Q31" i="3"/>
  <c r="K25" i="3"/>
  <c r="N24" i="3"/>
  <c r="M24" i="3"/>
  <c r="L24" i="3"/>
  <c r="V17" i="3"/>
  <c r="U17" i="3"/>
  <c r="T17" i="3"/>
  <c r="V36" i="3"/>
  <c r="U36" i="3"/>
  <c r="T36" i="3"/>
  <c r="R36" i="3"/>
  <c r="P36" i="3"/>
  <c r="Q36" i="3"/>
  <c r="L21" i="3"/>
  <c r="N21" i="3"/>
  <c r="M21" i="3"/>
  <c r="V26" i="3"/>
  <c r="U26" i="3"/>
  <c r="T26" i="3"/>
  <c r="V30" i="3"/>
  <c r="U30" i="3"/>
  <c r="T30" i="3"/>
  <c r="V27" i="3"/>
  <c r="U27" i="3"/>
  <c r="T27" i="3"/>
  <c r="N23" i="3"/>
  <c r="M23" i="3"/>
  <c r="L23" i="3"/>
  <c r="Q32" i="3"/>
  <c r="P32" i="3"/>
  <c r="R32" i="3"/>
  <c r="P37" i="3"/>
  <c r="R37" i="3"/>
  <c r="Q37" i="3"/>
  <c r="O38" i="3"/>
  <c r="L13" i="3"/>
  <c r="K14" i="3"/>
  <c r="N13" i="3"/>
  <c r="M13" i="3"/>
  <c r="V40" i="3"/>
  <c r="U40" i="3"/>
  <c r="T40" i="3"/>
  <c r="U35" i="3"/>
  <c r="V35" i="3"/>
  <c r="T35" i="3"/>
  <c r="R18" i="5"/>
  <c r="Q18" i="5"/>
  <c r="P18" i="5"/>
  <c r="T36" i="5"/>
  <c r="U36" i="5"/>
  <c r="V36" i="5"/>
  <c r="P19" i="5"/>
  <c r="R19" i="5"/>
  <c r="Q19" i="5"/>
  <c r="R16" i="5"/>
  <c r="Q16" i="5"/>
  <c r="T19" i="5"/>
  <c r="U19" i="5"/>
  <c r="V19" i="5"/>
  <c r="U16" i="5"/>
  <c r="V16" i="5"/>
  <c r="T16" i="5"/>
  <c r="P36" i="5"/>
  <c r="Q36" i="5"/>
  <c r="R36" i="5"/>
  <c r="U18" i="5"/>
  <c r="V18" i="5"/>
  <c r="T18" i="5"/>
  <c r="M39" i="5" l="1"/>
  <c r="AA3" i="5" s="1"/>
  <c r="L39" i="5"/>
  <c r="Z3" i="5" s="1"/>
  <c r="N22" i="4"/>
  <c r="L22" i="4"/>
  <c r="N21" i="4"/>
  <c r="L21" i="4"/>
  <c r="M42" i="4"/>
  <c r="Z4" i="4" s="1"/>
  <c r="O2" i="7"/>
  <c r="P2" i="7" s="1"/>
  <c r="P3" i="7"/>
  <c r="O12" i="7"/>
  <c r="P12" i="7" s="1"/>
  <c r="H12" i="7"/>
  <c r="I12" i="7" s="1"/>
  <c r="T39" i="5"/>
  <c r="Z5" i="5" s="1"/>
  <c r="R39" i="5"/>
  <c r="AB4" i="5" s="1"/>
  <c r="U39" i="5"/>
  <c r="AA5" i="5" s="1"/>
  <c r="P39" i="5"/>
  <c r="Z4" i="5" s="1"/>
  <c r="T30" i="4"/>
  <c r="U30" i="4"/>
  <c r="V30" i="4"/>
  <c r="V36" i="4"/>
  <c r="U36" i="4"/>
  <c r="T36" i="4"/>
  <c r="U18" i="4"/>
  <c r="T18" i="4"/>
  <c r="V18" i="4"/>
  <c r="T34" i="4"/>
  <c r="U34" i="4"/>
  <c r="V34" i="4"/>
  <c r="T38" i="4"/>
  <c r="U38" i="4"/>
  <c r="V38" i="4"/>
  <c r="V19" i="4"/>
  <c r="U19" i="4"/>
  <c r="T19" i="4"/>
  <c r="V20" i="4"/>
  <c r="U20" i="4"/>
  <c r="T20" i="4"/>
  <c r="Q31" i="4"/>
  <c r="P31" i="4"/>
  <c r="R31" i="4"/>
  <c r="V25" i="4"/>
  <c r="U25" i="4"/>
  <c r="T25" i="4"/>
  <c r="U31" i="4"/>
  <c r="T31" i="4"/>
  <c r="V31" i="4"/>
  <c r="V26" i="4"/>
  <c r="U26" i="4"/>
  <c r="T26" i="4"/>
  <c r="U39" i="4"/>
  <c r="T39" i="4"/>
  <c r="V39" i="4"/>
  <c r="V22" i="4"/>
  <c r="U22" i="4"/>
  <c r="T22" i="4"/>
  <c r="T17" i="4"/>
  <c r="U17" i="4"/>
  <c r="V17" i="4"/>
  <c r="U24" i="4"/>
  <c r="V24" i="4"/>
  <c r="T24" i="4"/>
  <c r="R25" i="4"/>
  <c r="Q25" i="4"/>
  <c r="P25" i="4"/>
  <c r="P27" i="4"/>
  <c r="R27" i="4"/>
  <c r="Q27" i="4"/>
  <c r="R33" i="4"/>
  <c r="Q33" i="4"/>
  <c r="P33" i="4"/>
  <c r="V32" i="4"/>
  <c r="U32" i="4"/>
  <c r="T32" i="4"/>
  <c r="V41" i="4"/>
  <c r="T41" i="4"/>
  <c r="U41" i="4"/>
  <c r="U13" i="4"/>
  <c r="T13" i="4"/>
  <c r="V13" i="4"/>
  <c r="V16" i="4"/>
  <c r="U16" i="4"/>
  <c r="T16" i="4"/>
  <c r="R29" i="4"/>
  <c r="Q29" i="4"/>
  <c r="P29" i="4"/>
  <c r="P34" i="4"/>
  <c r="R34" i="4"/>
  <c r="Q34" i="4"/>
  <c r="U28" i="4"/>
  <c r="T28" i="4"/>
  <c r="V28" i="4"/>
  <c r="V40" i="4"/>
  <c r="U40" i="4"/>
  <c r="T40" i="4"/>
  <c r="U21" i="4"/>
  <c r="T21" i="4"/>
  <c r="V21" i="4"/>
  <c r="R32" i="4"/>
  <c r="Q32" i="4"/>
  <c r="P32" i="4"/>
  <c r="R26" i="4"/>
  <c r="Q26" i="4"/>
  <c r="P26" i="4"/>
  <c r="V29" i="4"/>
  <c r="U29" i="4"/>
  <c r="T29" i="4"/>
  <c r="T27" i="4"/>
  <c r="U27" i="4"/>
  <c r="V27" i="4"/>
  <c r="V33" i="4"/>
  <c r="T33" i="4"/>
  <c r="U33" i="4"/>
  <c r="V37" i="4"/>
  <c r="T37" i="4"/>
  <c r="U37" i="4"/>
  <c r="V14" i="4"/>
  <c r="U14" i="4"/>
  <c r="T14" i="4"/>
  <c r="T23" i="4"/>
  <c r="U23" i="4"/>
  <c r="V23" i="4"/>
  <c r="Q28" i="4"/>
  <c r="P28" i="4"/>
  <c r="R28" i="4"/>
  <c r="P30" i="4"/>
  <c r="R30" i="4"/>
  <c r="Q30" i="4"/>
  <c r="P38" i="3"/>
  <c r="R38" i="3"/>
  <c r="Q38" i="3"/>
  <c r="O39" i="3"/>
  <c r="L25" i="3"/>
  <c r="M25" i="3"/>
  <c r="N25" i="3"/>
  <c r="U25" i="3"/>
  <c r="T25" i="3"/>
  <c r="V25" i="3"/>
  <c r="S14" i="3"/>
  <c r="U13" i="3"/>
  <c r="T13" i="3"/>
  <c r="V13" i="3"/>
  <c r="T18" i="3"/>
  <c r="U18" i="3"/>
  <c r="S19" i="3"/>
  <c r="V18" i="3"/>
  <c r="Q19" i="3"/>
  <c r="P19" i="3"/>
  <c r="R19" i="3"/>
  <c r="T38" i="3"/>
  <c r="S39" i="3"/>
  <c r="V38" i="3"/>
  <c r="U38" i="3"/>
  <c r="M14" i="3"/>
  <c r="N14" i="3"/>
  <c r="L14" i="3"/>
  <c r="O34" i="3"/>
  <c r="R33" i="3"/>
  <c r="P33" i="3"/>
  <c r="Q33" i="3"/>
  <c r="S34" i="3"/>
  <c r="V33" i="3"/>
  <c r="U33" i="3"/>
  <c r="T33" i="3"/>
  <c r="V39" i="5"/>
  <c r="AB5" i="5" s="1"/>
  <c r="Q39" i="5"/>
  <c r="AA4" i="5" s="1"/>
  <c r="Z8" i="5" l="1"/>
  <c r="Z9" i="5" s="1"/>
  <c r="L42" i="4"/>
  <c r="Y4" i="4" s="1"/>
  <c r="N42" i="4"/>
  <c r="AA4" i="4" s="1"/>
  <c r="P42" i="4"/>
  <c r="Y5" i="4" s="1"/>
  <c r="R42" i="4"/>
  <c r="AA5" i="4" s="1"/>
  <c r="AB8" i="5"/>
  <c r="AB9" i="5" s="1"/>
  <c r="V42" i="4"/>
  <c r="AA6" i="4" s="1"/>
  <c r="Q42" i="4"/>
  <c r="Z5" i="4" s="1"/>
  <c r="T42" i="4"/>
  <c r="Y6" i="4" s="1"/>
  <c r="U42" i="4"/>
  <c r="Z6" i="4" s="1"/>
  <c r="N42" i="3"/>
  <c r="AA10" i="3" s="1"/>
  <c r="L42" i="3"/>
  <c r="Y10" i="3" s="1"/>
  <c r="M42" i="3"/>
  <c r="Z10" i="3" s="1"/>
  <c r="U39" i="3"/>
  <c r="V39" i="3"/>
  <c r="T39" i="3"/>
  <c r="U19" i="3"/>
  <c r="T19" i="3"/>
  <c r="V19" i="3"/>
  <c r="Q39" i="3"/>
  <c r="R39" i="3"/>
  <c r="P39" i="3"/>
  <c r="U34" i="3"/>
  <c r="T34" i="3"/>
  <c r="V34" i="3"/>
  <c r="P34" i="3"/>
  <c r="R34" i="3"/>
  <c r="Q34" i="3"/>
  <c r="V14" i="3"/>
  <c r="U14" i="3"/>
  <c r="T14" i="3"/>
  <c r="AA8" i="5"/>
  <c r="AA10" i="5" s="1"/>
  <c r="Q42" i="3" l="1"/>
  <c r="Z11" i="3" s="1"/>
  <c r="Y11" i="4"/>
  <c r="Y13" i="4" s="1"/>
  <c r="Z11" i="4"/>
  <c r="Z14" i="4" s="1"/>
  <c r="AA11" i="4"/>
  <c r="AA14" i="4" s="1"/>
  <c r="Z11" i="5"/>
  <c r="Z10" i="5"/>
  <c r="AB11" i="5"/>
  <c r="AB10" i="5"/>
  <c r="R42" i="3"/>
  <c r="AA11" i="3" s="1"/>
  <c r="V42" i="3"/>
  <c r="AA12" i="3" s="1"/>
  <c r="P42" i="3"/>
  <c r="Y11" i="3" s="1"/>
  <c r="T42" i="3"/>
  <c r="Y12" i="3" s="1"/>
  <c r="U42" i="3"/>
  <c r="Z12" i="3" s="1"/>
  <c r="Z17" i="3" s="1"/>
  <c r="AA9" i="5"/>
  <c r="AC9" i="5" s="1"/>
  <c r="AA11" i="5"/>
  <c r="AA17" i="3" l="1"/>
  <c r="AA18" i="3" s="1"/>
  <c r="Y12" i="4"/>
  <c r="Y14" i="4"/>
  <c r="AB14" i="4" s="1"/>
  <c r="AA12" i="4"/>
  <c r="Z13" i="4"/>
  <c r="Z12" i="4"/>
  <c r="AA13" i="4"/>
  <c r="AC11" i="5"/>
  <c r="AC10" i="5"/>
  <c r="Z18" i="3"/>
  <c r="Z19" i="3"/>
  <c r="Z20" i="3"/>
  <c r="Y17" i="3"/>
  <c r="Y20" i="3" s="1"/>
  <c r="AA20" i="3" l="1"/>
  <c r="AB20" i="3" s="1"/>
  <c r="AA19" i="3"/>
  <c r="AB12" i="4"/>
  <c r="AB13" i="4"/>
  <c r="Y18" i="3"/>
  <c r="AB18" i="3" s="1"/>
  <c r="Y19" i="3"/>
  <c r="AB19" i="3" l="1"/>
  <c r="F31" i="6"/>
  <c r="F29" i="6" l="1"/>
  <c r="D31" i="6"/>
  <c r="C31" i="6"/>
  <c r="C32" i="6" s="1"/>
  <c r="F30" i="6"/>
  <c r="F32" i="6" l="1"/>
  <c r="C33" i="6" s="1"/>
  <c r="D32" i="6"/>
  <c r="E32" i="6"/>
  <c r="G30" i="6"/>
  <c r="G31" i="6"/>
  <c r="G29" i="6"/>
  <c r="C34" i="6" l="1"/>
  <c r="D33" i="6"/>
  <c r="D34" i="6" s="1"/>
  <c r="E33" i="6"/>
  <c r="E34" i="6" s="1"/>
  <c r="G34" i="6"/>
  <c r="E114" i="1" l="1"/>
  <c r="D114" i="1"/>
  <c r="D115" i="1" s="1"/>
  <c r="F114" i="1"/>
  <c r="F115" i="1" s="1"/>
  <c r="F119" i="1" s="1"/>
  <c r="C40" i="6" s="1"/>
  <c r="C125" i="1" s="1"/>
  <c r="D119" i="1" l="1"/>
  <c r="D124" i="1" s="1"/>
  <c r="E115" i="1"/>
  <c r="E119" i="1" s="1"/>
  <c r="H114" i="1"/>
  <c r="E40" i="6"/>
  <c r="E125" i="1" s="1"/>
  <c r="D40" i="6"/>
  <c r="D125" i="1" s="1"/>
  <c r="D39" i="6" l="1"/>
  <c r="D41" i="6" s="1"/>
  <c r="D126" i="1"/>
  <c r="H115" i="1"/>
  <c r="E124" i="1"/>
  <c r="H119" i="1"/>
  <c r="C120" i="1" s="1"/>
  <c r="E39" i="6"/>
  <c r="E41" i="6" s="1"/>
  <c r="E126" i="1"/>
  <c r="C126" i="1"/>
  <c r="C41" i="6"/>
  <c r="E120" i="1" l="1"/>
  <c r="C45" i="6"/>
  <c r="C58" i="6" s="1"/>
  <c r="C47" i="6"/>
  <c r="C46" i="6"/>
  <c r="E45" i="6"/>
  <c r="E47" i="6"/>
  <c r="E46" i="6"/>
  <c r="F120" i="1"/>
  <c r="D120" i="1"/>
  <c r="D46" i="6"/>
  <c r="D47" i="6"/>
  <c r="D45" i="6"/>
  <c r="H120" i="1" l="1"/>
  <c r="E48" i="6"/>
  <c r="E58" i="6"/>
  <c r="E59" i="6"/>
  <c r="F45" i="6"/>
  <c r="C48" i="6"/>
  <c r="D58" i="6"/>
  <c r="D48" i="6"/>
  <c r="D59" i="6"/>
  <c r="F46" i="6"/>
  <c r="C59" i="6"/>
  <c r="F47" i="6"/>
  <c r="F48" i="6" l="1"/>
  <c r="E60" i="6"/>
  <c r="E66" i="6" s="1"/>
  <c r="D60" i="6"/>
  <c r="D65" i="6" s="1"/>
  <c r="D71" i="6" s="1"/>
  <c r="C60" i="6"/>
  <c r="C66" i="6" s="1"/>
  <c r="C65" i="6" l="1"/>
  <c r="C71" i="6" s="1"/>
  <c r="E65" i="6"/>
  <c r="E71" i="6" s="1"/>
  <c r="E72" i="6"/>
  <c r="C72" i="6"/>
  <c r="D66" i="6"/>
  <c r="C67" i="6" l="1"/>
  <c r="F71" i="6"/>
  <c r="E73" i="6"/>
  <c r="E67" i="6"/>
  <c r="D67" i="6"/>
  <c r="D72" i="6"/>
  <c r="D73" i="6" s="1"/>
  <c r="C73" i="6"/>
  <c r="F72" i="6" l="1"/>
  <c r="F73" i="6" s="1"/>
  <c r="G71" i="6" s="1"/>
  <c r="C91" i="6" s="1"/>
  <c r="G72" i="6" l="1"/>
  <c r="C92" i="6" l="1"/>
  <c r="B35" i="7" s="1"/>
  <c r="B39" i="7" s="1"/>
  <c r="C39" i="7" s="1"/>
  <c r="C96" i="6"/>
  <c r="D95" i="6" s="1"/>
  <c r="G73" i="6"/>
  <c r="B36" i="7"/>
  <c r="C36" i="7" s="1"/>
  <c r="F36" i="7" s="1"/>
  <c r="B38" i="7"/>
  <c r="C38" i="7" s="1"/>
  <c r="F38" i="7" s="1"/>
  <c r="B34" i="7"/>
  <c r="C34" i="7" s="1"/>
  <c r="F34" i="7" s="1"/>
  <c r="B33" i="7"/>
  <c r="C33" i="7" s="1"/>
  <c r="E33" i="7" s="1"/>
  <c r="B31" i="7"/>
  <c r="C31" i="7" s="1"/>
  <c r="E31" i="7" s="1"/>
  <c r="B32" i="7"/>
  <c r="C32" i="7" s="1"/>
  <c r="E32" i="7" s="1"/>
  <c r="B40" i="7"/>
  <c r="C40" i="7" s="1"/>
  <c r="F40" i="7" s="1"/>
  <c r="B30" i="7"/>
  <c r="C30" i="7" s="1"/>
  <c r="E30" i="7" s="1"/>
  <c r="B37" i="7"/>
  <c r="C37" i="7" s="1"/>
  <c r="C35" i="7"/>
  <c r="J4" i="7"/>
  <c r="J19" i="7"/>
  <c r="J24" i="7"/>
  <c r="J17" i="7"/>
  <c r="Q16" i="7"/>
  <c r="C18" i="7"/>
  <c r="J8" i="7"/>
  <c r="J25" i="7"/>
  <c r="J12" i="7"/>
  <c r="C5" i="7"/>
  <c r="C8" i="7"/>
  <c r="C24" i="7"/>
  <c r="C23" i="7"/>
  <c r="Q10" i="7"/>
  <c r="Q7" i="7"/>
  <c r="Q21" i="7"/>
  <c r="C4" i="7"/>
  <c r="J5" i="7"/>
  <c r="C25" i="7"/>
  <c r="J16" i="7"/>
  <c r="Q9" i="7"/>
  <c r="Q23" i="7"/>
  <c r="C11" i="7"/>
  <c r="C12" i="7"/>
  <c r="J20" i="7"/>
  <c r="C21" i="7"/>
  <c r="Q26" i="7"/>
  <c r="C2" i="7"/>
  <c r="J26" i="7"/>
  <c r="Q11" i="7"/>
  <c r="C19" i="7"/>
  <c r="J21" i="7"/>
  <c r="Q5" i="7"/>
  <c r="J7" i="7"/>
  <c r="J18" i="7"/>
  <c r="J3" i="7"/>
  <c r="Q12" i="7"/>
  <c r="C22" i="7"/>
  <c r="Q22" i="7"/>
  <c r="Q3" i="7"/>
  <c r="C9" i="7"/>
  <c r="J2" i="7"/>
  <c r="C26" i="7"/>
  <c r="C20" i="7"/>
  <c r="J22" i="7"/>
  <c r="C10" i="7"/>
  <c r="J10" i="7"/>
  <c r="Q18" i="7"/>
  <c r="Q2" i="7"/>
  <c r="Q20" i="7"/>
  <c r="J9" i="7"/>
  <c r="C16" i="7"/>
  <c r="Q24" i="7"/>
  <c r="Q17" i="7"/>
  <c r="C7" i="7"/>
  <c r="C17" i="7"/>
  <c r="C3" i="7"/>
  <c r="J6" i="7"/>
  <c r="Q25" i="7"/>
  <c r="Q6" i="7"/>
  <c r="Q4" i="7"/>
  <c r="J23" i="7"/>
  <c r="J11" i="7"/>
  <c r="Q8" i="7"/>
  <c r="C6" i="7"/>
  <c r="Q19" i="7"/>
  <c r="E39" i="7"/>
  <c r="F39" i="7"/>
  <c r="D101" i="6" l="1"/>
  <c r="D99" i="6"/>
  <c r="C107" i="6" s="1"/>
  <c r="E36" i="7"/>
  <c r="E38" i="7"/>
  <c r="E34" i="7"/>
  <c r="F31" i="7"/>
  <c r="F33" i="7"/>
  <c r="D34" i="7"/>
  <c r="D38" i="7"/>
  <c r="D39" i="7"/>
  <c r="F32" i="7"/>
  <c r="F35" i="7"/>
  <c r="D35" i="7"/>
  <c r="E40" i="7"/>
  <c r="D32" i="7"/>
  <c r="E35" i="7"/>
  <c r="D31" i="7"/>
  <c r="D36" i="7"/>
  <c r="D33" i="7"/>
  <c r="D37" i="7"/>
  <c r="D30" i="7"/>
  <c r="E37" i="7"/>
  <c r="F30" i="7"/>
  <c r="F37" i="7"/>
  <c r="D40" i="7"/>
  <c r="F9" i="7"/>
  <c r="D9" i="7"/>
  <c r="E9" i="7"/>
  <c r="T8" i="7"/>
  <c r="R8" i="7"/>
  <c r="S8" i="7"/>
  <c r="D17" i="7"/>
  <c r="F17" i="7"/>
  <c r="E17" i="7"/>
  <c r="R18" i="7"/>
  <c r="T18" i="7"/>
  <c r="S18" i="7"/>
  <c r="S3" i="7"/>
  <c r="T3" i="7"/>
  <c r="R3" i="7"/>
  <c r="M21" i="7"/>
  <c r="K21" i="7"/>
  <c r="L21" i="7"/>
  <c r="E12" i="7"/>
  <c r="F12" i="7"/>
  <c r="D12" i="7"/>
  <c r="T21" i="7"/>
  <c r="R21" i="7"/>
  <c r="S21" i="7"/>
  <c r="K25" i="7"/>
  <c r="M25" i="7"/>
  <c r="L25" i="7"/>
  <c r="R2" i="7"/>
  <c r="S2" i="7"/>
  <c r="T2" i="7"/>
  <c r="K4" i="7"/>
  <c r="M4" i="7"/>
  <c r="L4" i="7"/>
  <c r="L11" i="7"/>
  <c r="M11" i="7"/>
  <c r="K11" i="7"/>
  <c r="F11" i="7"/>
  <c r="E11" i="7"/>
  <c r="D11" i="7"/>
  <c r="L23" i="7"/>
  <c r="M23" i="7"/>
  <c r="K23" i="7"/>
  <c r="S17" i="7"/>
  <c r="T17" i="7"/>
  <c r="R17" i="7"/>
  <c r="D10" i="7"/>
  <c r="F10" i="7"/>
  <c r="E10" i="7"/>
  <c r="F22" i="7"/>
  <c r="D22" i="7"/>
  <c r="E22" i="7"/>
  <c r="R11" i="7"/>
  <c r="S11" i="7"/>
  <c r="T11" i="7"/>
  <c r="S23" i="7"/>
  <c r="T23" i="7"/>
  <c r="R23" i="7"/>
  <c r="S10" i="7"/>
  <c r="R10" i="7"/>
  <c r="T10" i="7"/>
  <c r="D18" i="7"/>
  <c r="E18" i="7"/>
  <c r="F18" i="7"/>
  <c r="D3" i="7"/>
  <c r="F3" i="7"/>
  <c r="E3" i="7"/>
  <c r="D4" i="7"/>
  <c r="E4" i="7"/>
  <c r="F4" i="7"/>
  <c r="F19" i="7"/>
  <c r="D19" i="7"/>
  <c r="E19" i="7"/>
  <c r="S4" i="7"/>
  <c r="T4" i="7"/>
  <c r="R4" i="7"/>
  <c r="S24" i="7"/>
  <c r="T24" i="7"/>
  <c r="R24" i="7"/>
  <c r="M22" i="7"/>
  <c r="K22" i="7"/>
  <c r="L22" i="7"/>
  <c r="R12" i="7"/>
  <c r="S12" i="7"/>
  <c r="T12" i="7"/>
  <c r="M26" i="7"/>
  <c r="L26" i="7"/>
  <c r="K26" i="7"/>
  <c r="T9" i="7"/>
  <c r="R9" i="7"/>
  <c r="S9" i="7"/>
  <c r="D23" i="7"/>
  <c r="F23" i="7"/>
  <c r="E23" i="7"/>
  <c r="R16" i="7"/>
  <c r="T16" i="7"/>
  <c r="S16" i="7"/>
  <c r="S5" i="7"/>
  <c r="T5" i="7"/>
  <c r="R5" i="7"/>
  <c r="S22" i="7"/>
  <c r="T22" i="7"/>
  <c r="R22" i="7"/>
  <c r="D16" i="7"/>
  <c r="F16" i="7"/>
  <c r="E16" i="7"/>
  <c r="D20" i="7"/>
  <c r="F20" i="7"/>
  <c r="E20" i="7"/>
  <c r="K3" i="7"/>
  <c r="L3" i="7"/>
  <c r="M3" i="7"/>
  <c r="E2" i="7"/>
  <c r="F2" i="7"/>
  <c r="D2" i="7"/>
  <c r="L16" i="7"/>
  <c r="M16" i="7"/>
  <c r="K16" i="7"/>
  <c r="F24" i="7"/>
  <c r="D24" i="7"/>
  <c r="E24" i="7"/>
  <c r="K17" i="7"/>
  <c r="M17" i="7"/>
  <c r="L17" i="7"/>
  <c r="E6" i="7"/>
  <c r="D6" i="7"/>
  <c r="F6" i="7"/>
  <c r="L12" i="7"/>
  <c r="K12" i="7"/>
  <c r="M12" i="7"/>
  <c r="F7" i="7"/>
  <c r="D7" i="7"/>
  <c r="E7" i="7"/>
  <c r="R7" i="7"/>
  <c r="T7" i="7"/>
  <c r="S7" i="7"/>
  <c r="S25" i="7"/>
  <c r="R25" i="7"/>
  <c r="T25" i="7"/>
  <c r="L9" i="7"/>
  <c r="M9" i="7"/>
  <c r="K9" i="7"/>
  <c r="D26" i="7"/>
  <c r="F26" i="7"/>
  <c r="E26" i="7"/>
  <c r="L18" i="7"/>
  <c r="M18" i="7"/>
  <c r="K18" i="7"/>
  <c r="S26" i="7"/>
  <c r="T26" i="7"/>
  <c r="R26" i="7"/>
  <c r="F25" i="7"/>
  <c r="D25" i="7"/>
  <c r="E25" i="7"/>
  <c r="F8" i="7"/>
  <c r="D8" i="7"/>
  <c r="E8" i="7"/>
  <c r="K24" i="7"/>
  <c r="M24" i="7"/>
  <c r="L24" i="7"/>
  <c r="M20" i="7"/>
  <c r="K20" i="7"/>
  <c r="L20" i="7"/>
  <c r="K10" i="7"/>
  <c r="L10" i="7"/>
  <c r="M10" i="7"/>
  <c r="M8" i="7"/>
  <c r="L8" i="7"/>
  <c r="K8" i="7"/>
  <c r="R6" i="7"/>
  <c r="S6" i="7"/>
  <c r="T6" i="7"/>
  <c r="D100" i="6"/>
  <c r="R19" i="7"/>
  <c r="S19" i="7"/>
  <c r="T19" i="7"/>
  <c r="L6" i="7"/>
  <c r="M6" i="7"/>
  <c r="K6" i="7"/>
  <c r="R20" i="7"/>
  <c r="S20" i="7"/>
  <c r="T20" i="7"/>
  <c r="K2" i="7"/>
  <c r="L2" i="7"/>
  <c r="M2" i="7"/>
  <c r="L7" i="7"/>
  <c r="M7" i="7"/>
  <c r="K7" i="7"/>
  <c r="E21" i="7"/>
  <c r="D21" i="7"/>
  <c r="F21" i="7"/>
  <c r="M5" i="7"/>
  <c r="L5" i="7"/>
  <c r="K5" i="7"/>
  <c r="D5" i="7"/>
  <c r="E5" i="7"/>
  <c r="F5" i="7"/>
  <c r="K19" i="7"/>
  <c r="M19" i="7"/>
  <c r="L19" i="7"/>
  <c r="C108" i="6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<sst xmlns="http://schemas.openxmlformats.org/spreadsheetml/2006/main" count="742" uniqueCount="337">
  <si>
    <t>Servicios recibidos por delegatura y demás áreas año 2025</t>
  </si>
  <si>
    <t>Concepto</t>
  </si>
  <si>
    <t>UNIDADES</t>
  </si>
  <si>
    <t>Delegatura de Puertos</t>
  </si>
  <si>
    <t>Delegatura Concesiones e infraestructura</t>
  </si>
  <si>
    <t>Delegatura Tránsito y transporte</t>
  </si>
  <si>
    <t>Delegatura para la Protección de Usuarios</t>
  </si>
  <si>
    <t>Demás áreas de la entidad</t>
  </si>
  <si>
    <t>Total</t>
  </si>
  <si>
    <t>1-CONTROL INTERNO:</t>
  </si>
  <si>
    <t xml:space="preserve">  No. de auditorías programadas (Cantidades)</t>
  </si>
  <si>
    <t xml:space="preserve">  No. de auditorías realizadas (Cantidades)</t>
  </si>
  <si>
    <t xml:space="preserve">2-CONTROL INTERNO DISCIPLINARIO: </t>
  </si>
  <si>
    <t>No. de procesos aperturados en indagación preliminar (Cantidades)</t>
  </si>
  <si>
    <t>No. de procesos aperturados en investigación disciplinaria (Cantidades)</t>
  </si>
  <si>
    <t>No. de procesos archivados (Cantidades)</t>
  </si>
  <si>
    <t>No. de pliego de Cargos (Cantidades)</t>
  </si>
  <si>
    <t>No. de Procesos finalizados con fallos sancionatorios (Cantidades)</t>
  </si>
  <si>
    <t>No. de Procesos finalizados con fallos absolutorios (Cantidades)</t>
  </si>
  <si>
    <t>3-DIRECCION FINANCIERA:</t>
  </si>
  <si>
    <t xml:space="preserve"> 3.3-Obligaciones causadas(Cantidades)</t>
  </si>
  <si>
    <t xml:space="preserve"> 3.4-Cuentas de cobro (Cantidades)</t>
  </si>
  <si>
    <t>4-OTIC</t>
  </si>
  <si>
    <t xml:space="preserve"> 4.1-GLPI (Cantidades)</t>
  </si>
  <si>
    <t xml:space="preserve"> 4.2-Firmas (Cantidades)</t>
  </si>
  <si>
    <t xml:space="preserve"> 4.3-Licenciamiento (# funcionarios)</t>
  </si>
  <si>
    <t>5-TALENTO HUMANO</t>
  </si>
  <si>
    <t xml:space="preserve"> 5.1-Nomina (Cantidades)</t>
  </si>
  <si>
    <t xml:space="preserve"> 5.2-Comisiones (Cantidades)</t>
  </si>
  <si>
    <t>6-DIRECCIÓN ADMINISTRATIVA</t>
  </si>
  <si>
    <t xml:space="preserve">  6.1-Gestión Documental (Cantidades)</t>
  </si>
  <si>
    <t xml:space="preserve">  6.2-Contratación (Cantidades)</t>
  </si>
  <si>
    <t xml:space="preserve">  6.3-Notificaciones (Cantidades)</t>
  </si>
  <si>
    <t xml:space="preserve">  6.4-Atención al Ciudadano (Cantidades)</t>
  </si>
  <si>
    <t>7-JURIDICA</t>
  </si>
  <si>
    <t xml:space="preserve"> 7.1-Número de recursos resueltos (Cantidades)</t>
  </si>
  <si>
    <t xml:space="preserve"> 7.2-Coactivo -  Mandamientos de  pagos expedidos (Cantidades)</t>
  </si>
  <si>
    <t xml:space="preserve">8-PLANEACIÓN </t>
  </si>
  <si>
    <t>No. de iniciativas apropiadas en los proyectos de inversión (Cantidades)</t>
  </si>
  <si>
    <t>No. de iniciativas comprometidas en los proyectos de inversión (Cantidades)</t>
  </si>
  <si>
    <t>No. de actividades planteadas en el Plan de Acción Institucional -PAI (Cantidades)</t>
  </si>
  <si>
    <t>No. de Metas/Líneas de Acción planteadas en el Plan de Acción Institucional -PAI (Cantidades)</t>
  </si>
  <si>
    <t>Participación porcentual por delegatura y demás áreas año 2024</t>
  </si>
  <si>
    <t>Porcentaje</t>
  </si>
  <si>
    <t>Delegatura puertos</t>
  </si>
  <si>
    <t xml:space="preserve">  No. de procesos aperturados en indagación preliminar (Cantidades)</t>
  </si>
  <si>
    <t xml:space="preserve">  No. de procesos aperturados en investigación disciplinaria (Cantidades)</t>
  </si>
  <si>
    <t xml:space="preserve">  No. de procesos archivados (Cantidades)</t>
  </si>
  <si>
    <t xml:space="preserve">  No. de pliego de Cargos (Cantidades)</t>
  </si>
  <si>
    <t xml:space="preserve">  No. de Procesos finalizados con fallos sancionatorios (Cantidades)</t>
  </si>
  <si>
    <t>Condicional</t>
  </si>
  <si>
    <t xml:space="preserve">  No. de Procesos finalizados con fallos absolutorios (Cantidades)</t>
  </si>
  <si>
    <t xml:space="preserve"> 3.1- Recaudo (Miles Pesos)</t>
  </si>
  <si>
    <t xml:space="preserve"> 3.2-Cartera (Miles Pesos)</t>
  </si>
  <si>
    <t>4-TICS</t>
  </si>
  <si>
    <t>6-DIRECCIÓN ADTIVA</t>
  </si>
  <si>
    <t xml:space="preserve">  6.5-Almacén (Miles Pesos)</t>
  </si>
  <si>
    <t xml:space="preserve"> 7.1-Procesos resueltos (Cantidades)</t>
  </si>
  <si>
    <t xml:space="preserve">  No. de iniciativas apropiadas en los proyectos de inversión (Cantidades)</t>
  </si>
  <si>
    <t xml:space="preserve">  No. de iniciativas comprometidas en los proyectos de inversión (Cantidades)</t>
  </si>
  <si>
    <t xml:space="preserve">  No. de actividades planteadas en el Plan de Acción Institucional -PAI (Cantidades)</t>
  </si>
  <si>
    <t xml:space="preserve">  No. de Metas/Líneas de Acción planteadas en el Plan de Acción Institucional -PAI (Cantidades)</t>
  </si>
  <si>
    <t>PROMEDIO</t>
  </si>
  <si>
    <t>Se ajusta la fórmula, dado que los valores correspondientes a los fallos absolutorios y sancionatorios son iguales a cero, lo que afectaba el cálculo y la distribución correcta del promedio entre las delegaturas.</t>
  </si>
  <si>
    <t xml:space="preserve"> Distribución de porcentajes de las demás áreas por delegaturas año 2024</t>
  </si>
  <si>
    <t>Suma % delegatura</t>
  </si>
  <si>
    <t>Suma % demás áreas</t>
  </si>
  <si>
    <t>% delegatura / demás áreas</t>
  </si>
  <si>
    <t>% participación cada delegatura</t>
  </si>
  <si>
    <r>
      <t>Número de funcionarios y contratistas año</t>
    </r>
    <r>
      <rPr>
        <b/>
        <sz val="9"/>
        <color theme="5" tint="-0.249977111117893"/>
        <rFont val="Arial"/>
        <family val="2"/>
      </rPr>
      <t xml:space="preserve"> </t>
    </r>
    <r>
      <rPr>
        <b/>
        <sz val="9"/>
        <color theme="7" tint="0.39997558519241921"/>
        <rFont val="Arial"/>
        <family val="2"/>
      </rPr>
      <t>2026</t>
    </r>
  </si>
  <si>
    <t>Unidades</t>
  </si>
  <si>
    <t>Número de funcionarios</t>
  </si>
  <si>
    <t>Número de contratistas</t>
  </si>
  <si>
    <t>Totales funcionarios mas contratistas</t>
  </si>
  <si>
    <r>
      <t xml:space="preserve">Cálculos para la distribución del presupuesto año </t>
    </r>
    <r>
      <rPr>
        <b/>
        <sz val="9"/>
        <color theme="7" tint="-0.249977111117893"/>
        <rFont val="Arial"/>
        <family val="2"/>
      </rPr>
      <t>2026</t>
    </r>
  </si>
  <si>
    <t>Distribución del presupuesto año 2026 aplicando presupuesto asignado para cada delegatura (cifras en miles cop)</t>
  </si>
  <si>
    <t>Nómina</t>
  </si>
  <si>
    <t>Contratos Prestación Servicios</t>
  </si>
  <si>
    <t>Comisiones de Viaje</t>
  </si>
  <si>
    <t>Arrendamientos</t>
  </si>
  <si>
    <t>Servicios Públicos</t>
  </si>
  <si>
    <t>Servicios de bienestar</t>
  </si>
  <si>
    <t>Otros</t>
  </si>
  <si>
    <t>FUNCIONAMIENTO</t>
  </si>
  <si>
    <t>Distribución - Demás Áreas</t>
  </si>
  <si>
    <t>FUNCIONAMIENTO DELEGATURAS</t>
  </si>
  <si>
    <t xml:space="preserve">INVERSIÓN </t>
  </si>
  <si>
    <t>INVERSIÓN DELEGATURAS</t>
  </si>
  <si>
    <t>TOTAL</t>
  </si>
  <si>
    <t>Participación</t>
  </si>
  <si>
    <t>Costo por Delegatura Inicial</t>
  </si>
  <si>
    <t>Distribución de la Delegatura para la Protección a Usuarios</t>
  </si>
  <si>
    <t>Costo x Delegatura</t>
  </si>
  <si>
    <t>Explicación de registro de información de la tabla de distribución del presupuesto</t>
  </si>
  <si>
    <t>Forma de asignar el valor</t>
  </si>
  <si>
    <t>Se asigna valor de acuerdo con la información suministrada por Talento Humano.</t>
  </si>
  <si>
    <t>Contratos prestación de servicios</t>
  </si>
  <si>
    <t>Se asigna de acuerdo con información del formulario funcionamiento anteproyecto por Dirección Financiera.</t>
  </si>
  <si>
    <t>Se asigna de acuerdo con información suministradas por Dirección Administrativa y Talento Humano.</t>
  </si>
  <si>
    <t>Se asigna valor suministrado por distribución de número de funcionarios y contratistas de las áreas.</t>
  </si>
  <si>
    <t>Se asigna por distribución de número de funcionarios de las áreas.</t>
  </si>
  <si>
    <t>Su valor se calcula por la diferencia entre el valor asignado en el presupuesto para funcionamiento, restando el subtotal de los demás conceptos y aplicando la participación calculada en tabla de prestación de servicios.</t>
  </si>
  <si>
    <t>Es la suma de los conceptos de Nomina, Contratos de prestación de servicios, comisiones de viaje, arrendamientos, servicios públicos, servicios de bienestar y otros.</t>
  </si>
  <si>
    <t>Distribución Demás Áreas</t>
  </si>
  <si>
    <t>Se distribuye el valor de Demás Áreas con el porcentaje de participación de cada Delegatura, en la prestación de los servicios.</t>
  </si>
  <si>
    <t>Sumatoria de fila de Funcionamiento más la distribución de Demás Áreas.</t>
  </si>
  <si>
    <t xml:space="preserve">INVERSION </t>
  </si>
  <si>
    <t>Se asigna valor informado por el Área de Planeación.</t>
  </si>
  <si>
    <t>INVERSION DELEGATURAS</t>
  </si>
  <si>
    <t>Sumatoria de Inversión por delegaturas y la distribución de las Demás Áreas.</t>
  </si>
  <si>
    <t>Suma de Funcionamiento de Delegaturas mas Inversión Delegaturas.</t>
  </si>
  <si>
    <t>Calculo de participación de cada delegatura con respecto al total del presupuesto asignado.</t>
  </si>
  <si>
    <t>Cálculo de participación por vigilancia</t>
  </si>
  <si>
    <t xml:space="preserve">Paso 6. </t>
  </si>
  <si>
    <t xml:space="preserve">Paso 1. </t>
  </si>
  <si>
    <t>Tipo de vigilancia</t>
  </si>
  <si>
    <t xml:space="preserve">Min </t>
  </si>
  <si>
    <t>Med</t>
  </si>
  <si>
    <t>Max</t>
  </si>
  <si>
    <t xml:space="preserve">Total vigilados </t>
  </si>
  <si>
    <r>
      <rPr>
        <b/>
        <sz val="11"/>
        <color theme="1"/>
        <rFont val="Arial"/>
        <family val="2"/>
      </rPr>
      <t>Nota:</t>
    </r>
    <r>
      <rPr>
        <sz val="11"/>
        <color theme="1"/>
        <rFont val="Arial"/>
        <family val="2"/>
      </rPr>
      <t xml:space="preserve"> La información corresponde a los vigilados que reportaron información financiera.</t>
    </r>
  </si>
  <si>
    <t>Objetiva</t>
  </si>
  <si>
    <t>Subjetiva</t>
  </si>
  <si>
    <t>Integral</t>
  </si>
  <si>
    <t xml:space="preserve">Paso 7. </t>
  </si>
  <si>
    <t xml:space="preserve">Paso 2. </t>
  </si>
  <si>
    <t xml:space="preserve">Paso 3. </t>
  </si>
  <si>
    <t xml:space="preserve">Paso 4. </t>
  </si>
  <si>
    <t xml:space="preserve">Paso 5. </t>
  </si>
  <si>
    <t>Total horas</t>
  </si>
  <si>
    <t>Promedio de participación</t>
  </si>
  <si>
    <t>Proceso</t>
  </si>
  <si>
    <t>Procedimiento</t>
  </si>
  <si>
    <t>Actividad</t>
  </si>
  <si>
    <t>Horas</t>
  </si>
  <si>
    <t xml:space="preserve">Magnitud </t>
  </si>
  <si>
    <t>OBJETIVA - TOTAL HORAS</t>
  </si>
  <si>
    <t>SUBJETIVA - TOTAL HORAS</t>
  </si>
  <si>
    <t>INTEGRAL - TOTAL HORAS</t>
  </si>
  <si>
    <t>Participación de supervisión Objetiva</t>
  </si>
  <si>
    <t>Min</t>
  </si>
  <si>
    <t>Descripción</t>
  </si>
  <si>
    <t>%</t>
  </si>
  <si>
    <t>Universo final</t>
  </si>
  <si>
    <t>Participación de supervisión Subjetiva</t>
  </si>
  <si>
    <t xml:space="preserve">Vigilancia </t>
  </si>
  <si>
    <t>Vigilancia Objetiva</t>
  </si>
  <si>
    <t xml:space="preserve">Revisar actas e informes de visita de supervisión para la identificación de actuaciones posteriores </t>
  </si>
  <si>
    <t xml:space="preserve">Por actividad </t>
  </si>
  <si>
    <t xml:space="preserve">50 visitas en promedio anuales </t>
  </si>
  <si>
    <t>Participación de supervisión Integral</t>
  </si>
  <si>
    <t xml:space="preserve">Revisar actas e informes de operativos de inspección en cuerpos acuáticos para la identificación de actuaciones posteriores </t>
  </si>
  <si>
    <t xml:space="preserve">En promedio 90 operativos anuales </t>
  </si>
  <si>
    <t>Requerir acciones de mejora</t>
  </si>
  <si>
    <t xml:space="preserve">En promedio del 60% de visitas surgen recomendaciones y aspectos por mejorar </t>
  </si>
  <si>
    <t>Realizar seguimiento al cumplimiento de las acciones de mejora</t>
  </si>
  <si>
    <t>Por vigilado</t>
  </si>
  <si>
    <t>Vigilancia Subjetiva</t>
  </si>
  <si>
    <t xml:space="preserve">Analizar la información financiera reportada por vigilados </t>
  </si>
  <si>
    <t>Para todos los vigilados</t>
  </si>
  <si>
    <t>Requerir a Vigilados con riesgo financiero medio y alto</t>
  </si>
  <si>
    <t>Varía dependiendo del análisis de información financiera y del vigilado</t>
  </si>
  <si>
    <t xml:space="preserve">Evaluar solicitudes de reformas estatutarias radicadas </t>
  </si>
  <si>
    <t>Varía en función a las solicitudes, máximo 8 al año</t>
  </si>
  <si>
    <t>Analizar contratos y/o documentos derivados de los contratos de concesión portuaria</t>
  </si>
  <si>
    <t xml:space="preserve">Analizar aspectos societarios y comerciales </t>
  </si>
  <si>
    <t>Realizar requerimientos de carácter subjetivo con base en hallazgos evidenciados en visitas de supervisión</t>
  </si>
  <si>
    <t xml:space="preserve">Realizar seguimiento al cumplimiento de lo requerido de índole subjetiva en el marco de las visitas de supervisión </t>
  </si>
  <si>
    <t>Proceso Estadístico</t>
  </si>
  <si>
    <t>Realizar validaciones trimestrales sobre la información de estadísticas de tráfico portuario</t>
  </si>
  <si>
    <t>Para toda la actividad</t>
  </si>
  <si>
    <t>56 vigilados</t>
  </si>
  <si>
    <t>Realizar validaciones trimestrales sobre la información de Indicadores ABC  y los indicadores BSC, transmitidas por los vigilados</t>
  </si>
  <si>
    <t>Identificar los vigilados que realizan con mayor frecuencia requerimientos de eliminación de cifras del modulo SIGT- VIGIA, a través de los canales de atención al cliente estipulados por la entidad</t>
  </si>
  <si>
    <t xml:space="preserve">Mínimo son 10 vigilados </t>
  </si>
  <si>
    <t>Identificar los vigilados que realizan con mayor frecuencia requerimientos de eliminación de cifras del módulo ABC y BSC de VIGIA, a través de los canales de atención al cliente estipulados por la entidad</t>
  </si>
  <si>
    <t>Mínimo son 10 vigilados</t>
  </si>
  <si>
    <t xml:space="preserve">Elaborar y publicar boletines de trafico portuario </t>
  </si>
  <si>
    <t>para toda la actividad</t>
  </si>
  <si>
    <t>4 Depende del análisis y los ajustes que requiera el boletín</t>
  </si>
  <si>
    <t>Elaborar y publicar informes de indicadores de eficiencia portuaria</t>
  </si>
  <si>
    <t>4 Depende del análisis y los ajustes que requiera el informe</t>
  </si>
  <si>
    <t>Inspección</t>
  </si>
  <si>
    <t>Inspección Objetiva</t>
  </si>
  <si>
    <t xml:space="preserve"> Visitas de supervisión</t>
  </si>
  <si>
    <t>Realizar los trámites administrativos previos para realizar la visita de supervisión (solicitud viáticos, credenciales de la visita y notificaciones a vigilados)</t>
  </si>
  <si>
    <t>30% de los supervisados</t>
  </si>
  <si>
    <t>Preparar la visita de supervisión  (revisar antecedentes y alistar documentos de trabajo)</t>
  </si>
  <si>
    <t>Por vigilado inspeccionado</t>
  </si>
  <si>
    <t>Realizar la visita de supervisión (incluyendo la elaboración del acta durante el recorrido de la visita)</t>
  </si>
  <si>
    <t>20 o 30 más grandes, 30%</t>
  </si>
  <si>
    <t xml:space="preserve">Elaborar Informe de la visita de supervisión. </t>
  </si>
  <si>
    <t xml:space="preserve">Operativos de inspección </t>
  </si>
  <si>
    <t>Trámites administrativos previos para realizar los operativos de inspección (solicitud viáticos y credenciales de la visita)</t>
  </si>
  <si>
    <t>1% vigilados</t>
  </si>
  <si>
    <t xml:space="preserve">Preparar el operativo de inspección </t>
  </si>
  <si>
    <t>Realizar el operativo de inspección (incluyendo la elaboración del acta durante el desarrollo del operativo cuando aplique)</t>
  </si>
  <si>
    <t>Inspección Subjetiva</t>
  </si>
  <si>
    <t>1% de los supervisados</t>
  </si>
  <si>
    <t>Preparar la visita de supervisión  (revisar antecedentes y alistar documentos de trabajo de carácter subjetivo)</t>
  </si>
  <si>
    <t>20% de los supervisados</t>
  </si>
  <si>
    <t>TOTAL HORAS</t>
  </si>
  <si>
    <t>Nota: la información de vigilados se obtuvo de los ingresos reportados 2024</t>
  </si>
  <si>
    <r>
      <rPr>
        <b/>
        <sz val="11"/>
        <color theme="1"/>
        <rFont val="Arial"/>
        <family val="2"/>
      </rPr>
      <t xml:space="preserve">Nota: </t>
    </r>
    <r>
      <rPr>
        <sz val="11"/>
        <color theme="1"/>
        <rFont val="Arial"/>
        <family val="2"/>
      </rPr>
      <t>La información corresponde a los vigilados que reportaron información financiera.</t>
    </r>
  </si>
  <si>
    <t>OBJETIVA - Total horas</t>
  </si>
  <si>
    <t>SUBJETIVA - Total horas</t>
  </si>
  <si>
    <t>INTEGRAL - Total horas</t>
  </si>
  <si>
    <t>Vigilancia o autogestión</t>
  </si>
  <si>
    <t>Preparación de requisitos a los vigilados</t>
  </si>
  <si>
    <t>Por tipo de vigilado + Programas especiales</t>
  </si>
  <si>
    <t>7 tipos de vigilados + 6 programas especiales</t>
  </si>
  <si>
    <t>Análisis de la información recepcionada</t>
  </si>
  <si>
    <t>requerimiento de acciones de mejora (80% de vigilados)</t>
  </si>
  <si>
    <t>80% de los vigilados</t>
  </si>
  <si>
    <t>Seguimiento al requerimiento y a las acciones de mejora (10% sin seguimiento)</t>
  </si>
  <si>
    <t>90% de los que tuvieron requerimientos</t>
  </si>
  <si>
    <t>Actividades de Promoción (Capacitaciones, mesas de trabajo, socializaciones…)</t>
  </si>
  <si>
    <t>Por programa de formalización + Programa especial</t>
  </si>
  <si>
    <t>3 programas de formalización + 1 programa especial</t>
  </si>
  <si>
    <t>General</t>
  </si>
  <si>
    <t>Recepción, organización y análisis de la información recepcionada</t>
  </si>
  <si>
    <t>Requerimiento de acciones de mejora (10% de vigilados)</t>
  </si>
  <si>
    <t>10% de los vigilados</t>
  </si>
  <si>
    <t>Por grupo de niif o tipo de organización</t>
  </si>
  <si>
    <t>3 grupo de niif o 5 tipos de organización</t>
  </si>
  <si>
    <t>Participación de supervisión integral</t>
  </si>
  <si>
    <t xml:space="preserve"> Inspecciones in situ (generales, programas especiales)</t>
  </si>
  <si>
    <t>Preparación y requisitos de la inspección (antecedentes y papeles de trabajo)</t>
  </si>
  <si>
    <t>60% de los supervisados</t>
  </si>
  <si>
    <t>Realización de la inspección (acta de visita de inspección)</t>
  </si>
  <si>
    <t>Realizar Informe de la visita de inspección</t>
  </si>
  <si>
    <t>requerimiento de acciones de mejora (100% de vigilados inspeccionados)</t>
  </si>
  <si>
    <t>100% de los inspeccionados</t>
  </si>
  <si>
    <t>Seguimiento al requerimiento y a las acciones de mejora (10% sin seguimiento de los requeridos)</t>
  </si>
  <si>
    <t>90% de los inspeccionados</t>
  </si>
  <si>
    <t xml:space="preserve"> Inspecciones in situ (operativos)</t>
  </si>
  <si>
    <t>Realización de operativos de temporada</t>
  </si>
  <si>
    <t>Por infraestructura seleccionada</t>
  </si>
  <si>
    <t>10% vigilados</t>
  </si>
  <si>
    <t>Actividades de Promoción (Capacitaciones, mesas de trabajo, socializaciones, oportunidades de mejora, reuniones institucionales)</t>
  </si>
  <si>
    <t>Por actividad de promoción por vigilado</t>
  </si>
  <si>
    <t>2% vigilados</t>
  </si>
  <si>
    <t xml:space="preserve"> Inspecciones documentales</t>
  </si>
  <si>
    <t>Solicitud de información individua al vigilado en caso de que se requiera</t>
  </si>
  <si>
    <t>Por vigilado requerido</t>
  </si>
  <si>
    <t>1 % vigilados</t>
  </si>
  <si>
    <t>Análisis y seguimiento sobre las acciones necesarias (requerimiento de acción de mejora,  remisión a investigación para estudio de merito de investigación o sometimiento a control)</t>
  </si>
  <si>
    <t xml:space="preserve"> Inspecciones in situ (generales)</t>
  </si>
  <si>
    <t>2% de los supervisados</t>
  </si>
  <si>
    <t>requerimiento de acciones de mejora (20% de vigilados inspeccionados)</t>
  </si>
  <si>
    <t>20% de los inspeccionados</t>
  </si>
  <si>
    <t>90% de los que tuvieron requerimiento</t>
  </si>
  <si>
    <t xml:space="preserve"> Inspecciones virtuales (generales )</t>
  </si>
  <si>
    <t>3% de los supervisados</t>
  </si>
  <si>
    <t>Seguimiento al requerimiento y a las acciones de mejora (30% sin seguimiento de los requeridos)</t>
  </si>
  <si>
    <t>70% de los que tuvieron requerimiento</t>
  </si>
  <si>
    <t>Conceptos de sustentabilidad financiera</t>
  </si>
  <si>
    <t>Transporte especial</t>
  </si>
  <si>
    <t>Aprobación contratos de temporada alta</t>
  </si>
  <si>
    <t>Autorización Reformas estatutarias (análisis de la documentación, requerimientos de información, expedición acto administrativo)</t>
  </si>
  <si>
    <t xml:space="preserve"> Visitas administrativas (generales, programas especiales)</t>
  </si>
  <si>
    <t xml:space="preserve">Requerimiento de acciones de mejora </t>
  </si>
  <si>
    <t>Seguimiento al requerimiento y a las acciones de mejora</t>
  </si>
  <si>
    <t>Realización de operativos</t>
  </si>
  <si>
    <t>Solicitud de información individual al vigilado en caso de que se requiera</t>
  </si>
  <si>
    <t>Visitas administrativas (generales)</t>
  </si>
  <si>
    <t>requerimiento de acciones de mejora</t>
  </si>
  <si>
    <t xml:space="preserve">Seguimiento al requerimiento y a las acciones de mejora </t>
  </si>
  <si>
    <t xml:space="preserve">requerimiento de acciones de mejora </t>
  </si>
  <si>
    <t>Análisis de la información financiera reportada a través de VIGIA</t>
  </si>
  <si>
    <t xml:space="preserve">Requerimiento de información </t>
  </si>
  <si>
    <t>Visita de inspección</t>
  </si>
  <si>
    <t>0.9%</t>
  </si>
  <si>
    <t>Informe motivado de sometimiento a control</t>
  </si>
  <si>
    <t>Cálculos de los Betas</t>
  </si>
  <si>
    <t>Actividades de la Delegatura para la Protección de Usuarios Año 2025</t>
  </si>
  <si>
    <t>Por Modos de Transporte</t>
  </si>
  <si>
    <t>Conceptos</t>
  </si>
  <si>
    <t>Aéreo</t>
  </si>
  <si>
    <t>Férreo</t>
  </si>
  <si>
    <t>Fluvial y Marítimo</t>
  </si>
  <si>
    <t>Terrestre</t>
  </si>
  <si>
    <t>No. de PQRSD gestionadas</t>
  </si>
  <si>
    <t>Ok- validado y corregido</t>
  </si>
  <si>
    <t>No. de programas de promoción y prevención realizados</t>
  </si>
  <si>
    <t>No. de investigaciones iniciadas.</t>
  </si>
  <si>
    <t>Participación por Delegaturas en las actividades de la Delegatura para la Protección de Usuarios Año 2025</t>
  </si>
  <si>
    <t>Por Delegaturas</t>
  </si>
  <si>
    <t>Puertos</t>
  </si>
  <si>
    <t>Concesiones</t>
  </si>
  <si>
    <t>Tránsito</t>
  </si>
  <si>
    <t>Participación promedio</t>
  </si>
  <si>
    <t>Distribución otros</t>
  </si>
  <si>
    <t>Ponderador</t>
  </si>
  <si>
    <t>Costos por Delegatura</t>
  </si>
  <si>
    <t>Distribución Delegatura para la Protección de Usuarios</t>
  </si>
  <si>
    <t>Costos por Tipo de Vigilancia</t>
  </si>
  <si>
    <t>Total en miles de pesos</t>
  </si>
  <si>
    <t>Costo vigilancia Objetiva</t>
  </si>
  <si>
    <t>Costo vigilancia Subjetiva</t>
  </si>
  <si>
    <t>Costo vigilancia Integral</t>
  </si>
  <si>
    <t>Número de Vigilados</t>
  </si>
  <si>
    <t>Vigilancia Integral</t>
  </si>
  <si>
    <t>Costo Unitario por Tipo de Vigilancia Objetiva y Subjetiva</t>
  </si>
  <si>
    <t>Distribución porcentual de los costos por Tipo de Vigilancia Objetiva y Subjetiva</t>
  </si>
  <si>
    <t>Distribución de los costos por Tipo de Vigilancia Objetiva y Subjetiva</t>
  </si>
  <si>
    <t>Costos por vigilancia Total</t>
  </si>
  <si>
    <t>Ponderador por vigilancia Objetiva y Subjetiva</t>
  </si>
  <si>
    <t>Gamma y Alpha</t>
  </si>
  <si>
    <t>Gamma</t>
  </si>
  <si>
    <t>Alpha</t>
  </si>
  <si>
    <t>Metodología de Calculo de la CEV</t>
  </si>
  <si>
    <t>Factor</t>
  </si>
  <si>
    <t>Valor</t>
  </si>
  <si>
    <t>Total Presupuesto</t>
  </si>
  <si>
    <t>Presupuesto de funcionamiento de la entidad en t</t>
  </si>
  <si>
    <t>Presupuesto de inversión de la entidad en t</t>
  </si>
  <si>
    <t>Multas de los vigilados en t-1</t>
  </si>
  <si>
    <t>Ingresos Brutos Vigilados por Servicios de Transporte en t-1</t>
  </si>
  <si>
    <t>Contribución de vigilancia subjetiva</t>
  </si>
  <si>
    <t>Contribución de vigilancia objetiva</t>
  </si>
  <si>
    <t>Contribución de vigilancia integral</t>
  </si>
  <si>
    <t>Total a Recaudar</t>
  </si>
  <si>
    <t>Sensibilidad</t>
  </si>
  <si>
    <t>Ingresos Vigilancia Integral</t>
  </si>
  <si>
    <t>Beta</t>
  </si>
  <si>
    <t>Variación del Beta</t>
  </si>
  <si>
    <t>Tarifa Objetiva</t>
  </si>
  <si>
    <t>Tarifa subjetiva</t>
  </si>
  <si>
    <t>Ingresos Vigilancia Objetiva</t>
  </si>
  <si>
    <t>Ingresos Vigilancia Subjetiva</t>
  </si>
  <si>
    <t>Presupuesto de Funcionamiento</t>
  </si>
  <si>
    <t>Presupuesto de Inversión</t>
  </si>
  <si>
    <t>Multas</t>
  </si>
  <si>
    <r>
      <t xml:space="preserve"> 3.1- Recaudo </t>
    </r>
    <r>
      <rPr>
        <b/>
        <sz val="9"/>
        <color theme="1"/>
        <rFont val="Arial"/>
        <family val="2"/>
      </rPr>
      <t>(Miles de Pesos)</t>
    </r>
  </si>
  <si>
    <r>
      <t xml:space="preserve"> 3.2-Cartera </t>
    </r>
    <r>
      <rPr>
        <b/>
        <sz val="9"/>
        <color theme="1"/>
        <rFont val="Arial"/>
        <family val="2"/>
      </rPr>
      <t>(Miles de Pesos)</t>
    </r>
  </si>
  <si>
    <r>
      <t xml:space="preserve">  6.5-Almacén</t>
    </r>
    <r>
      <rPr>
        <b/>
        <sz val="9"/>
        <color theme="1"/>
        <rFont val="Arial"/>
        <family val="2"/>
      </rPr>
      <t xml:space="preserve"> (Miles Pesos)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</si>
</sst>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_-;\-* #,##0_-;_-* &quot;-&quot;??_-;_-@_-"/>
    <numFmt numFmtId="165" formatCode="0.0%"/>
    <numFmt numFmtId="166" formatCode="_-&quot;$&quot;\ * #,##0_-;\-&quot;$&quot;\ * #,##0_-;_-&quot;$&quot;\ * &quot;-&quot;??_-;_-@_-"/>
    <numFmt numFmtId="167" formatCode="0.00000%"/>
    <numFmt numFmtId="168" formatCode="_(* #,##0.00_);_(* \(#,##0.00\);_(* &quot;-&quot;??_);_(@_)"/>
    <numFmt numFmtId="169" formatCode="_-* #,##0.0_-;\-* #,##0.0_-;_-* &quot;-&quot;??_-;_-@_-"/>
    <numFmt numFmtId="170" formatCode="0.0000%"/>
    <numFmt numFmtId="171" formatCode="_-* #,##0\ _€_-;\-* #,##0\ _€_-;_-* &quot;-&quot;??\ _€_-;_-@_-"/>
    <numFmt numFmtId="172" formatCode="_(* #,##0_);_(* \(#,##0\);_(* &quot;-&quot;??_);_(@_)"/>
    <numFmt numFmtId="173" formatCode="_-* #,##0.000_-;\-* #,##0.000_-;_-* &quot;-&quot;??_-;_-@_-"/>
    <numFmt numFmtId="174" formatCode="0.000%"/>
  </numFmts>
  <fonts count="41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0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name val="Arial"/>
      <family val="2"/>
    </font>
    <font>
      <sz val="11"/>
      <color theme="0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sz val="11"/>
      <color rgb="FF000000"/>
      <name val="Calibri"/>
      <family val="2"/>
      <scheme val="minor"/>
    </font>
    <font>
      <sz val="9"/>
      <color theme="0"/>
      <name val="Arial Narrow"/>
      <family val="2"/>
    </font>
    <font>
      <sz val="9"/>
      <color theme="1"/>
      <name val="Arial Narrow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2"/>
      <color theme="1"/>
      <name val="Calibri"/>
      <family val="2"/>
    </font>
    <font>
      <b/>
      <sz val="11"/>
      <color theme="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7"/>
      <color rgb="FF000000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11"/>
      <color theme="0"/>
      <name val="Calibri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9"/>
      <color rgb="FFFF0000"/>
      <name val="Arial"/>
      <family val="2"/>
    </font>
    <font>
      <b/>
      <sz val="9"/>
      <color theme="5" tint="-0.249977111117893"/>
      <name val="Arial"/>
      <family val="2"/>
    </font>
    <font>
      <b/>
      <sz val="9"/>
      <color theme="7" tint="0.39997558519241921"/>
      <name val="Arial"/>
      <family val="2"/>
    </font>
    <font>
      <b/>
      <sz val="9"/>
      <color theme="7" tint="-0.249977111117893"/>
      <name val="Arial"/>
      <family val="2"/>
    </font>
    <font>
      <b/>
      <sz val="12"/>
      <color theme="1"/>
      <name val="Calibri"/>
      <family val="2"/>
    </font>
    <font>
      <b/>
      <sz val="12"/>
      <color theme="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55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4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6" fillId="0" borderId="0"/>
    <xf numFmtId="0" fontId="1" fillId="0" borderId="0"/>
  </cellStyleXfs>
  <cellXfs count="430">
    <xf numFmtId="0" fontId="0" fillId="0" borderId="0" xfId="0"/>
    <xf numFmtId="0" fontId="8" fillId="0" borderId="0" xfId="4" applyFont="1"/>
    <xf numFmtId="0" fontId="9" fillId="0" borderId="0" xfId="4" applyFont="1"/>
    <xf numFmtId="0" fontId="10" fillId="0" borderId="0" xfId="4" applyFont="1"/>
    <xf numFmtId="0" fontId="6" fillId="3" borderId="10" xfId="4" applyFont="1" applyFill="1" applyBorder="1"/>
    <xf numFmtId="0" fontId="8" fillId="0" borderId="10" xfId="4" applyFont="1" applyBorder="1" applyAlignment="1">
      <alignment vertical="center"/>
    </xf>
    <xf numFmtId="0" fontId="9" fillId="0" borderId="0" xfId="4" applyFont="1" applyAlignment="1">
      <alignment horizontal="center"/>
    </xf>
    <xf numFmtId="0" fontId="8" fillId="0" borderId="10" xfId="4" applyFont="1" applyBorder="1"/>
    <xf numFmtId="9" fontId="8" fillId="0" borderId="10" xfId="4" applyNumberFormat="1" applyFont="1" applyBorder="1"/>
    <xf numFmtId="9" fontId="8" fillId="0" borderId="0" xfId="5" applyFont="1" applyFill="1"/>
    <xf numFmtId="0" fontId="8" fillId="0" borderId="10" xfId="4" applyFont="1" applyBorder="1" applyAlignment="1">
      <alignment wrapText="1"/>
    </xf>
    <xf numFmtId="0" fontId="8" fillId="0" borderId="0" xfId="4" applyFont="1" applyAlignment="1">
      <alignment vertical="center"/>
    </xf>
    <xf numFmtId="0" fontId="9" fillId="0" borderId="0" xfId="4" applyFont="1" applyAlignment="1">
      <alignment horizontal="center" vertical="center"/>
    </xf>
    <xf numFmtId="0" fontId="8" fillId="4" borderId="10" xfId="4" applyFont="1" applyFill="1" applyBorder="1" applyAlignment="1">
      <alignment vertical="center" wrapText="1"/>
    </xf>
    <xf numFmtId="0" fontId="8" fillId="4" borderId="10" xfId="4" applyFont="1" applyFill="1" applyBorder="1" applyAlignment="1">
      <alignment vertical="center"/>
    </xf>
    <xf numFmtId="0" fontId="8" fillId="0" borderId="10" xfId="4" applyFont="1" applyBorder="1" applyAlignment="1">
      <alignment vertical="center" wrapText="1"/>
    </xf>
    <xf numFmtId="10" fontId="8" fillId="4" borderId="10" xfId="4" applyNumberFormat="1" applyFont="1" applyFill="1" applyBorder="1" applyAlignment="1">
      <alignment vertical="center"/>
    </xf>
    <xf numFmtId="9" fontId="8" fillId="4" borderId="10" xfId="4" applyNumberFormat="1" applyFont="1" applyFill="1" applyBorder="1" applyAlignment="1">
      <alignment vertical="center"/>
    </xf>
    <xf numFmtId="9" fontId="8" fillId="4" borderId="10" xfId="4" applyNumberFormat="1" applyFont="1" applyFill="1" applyBorder="1" applyAlignment="1">
      <alignment horizontal="right" vertical="center"/>
    </xf>
    <xf numFmtId="0" fontId="8" fillId="4" borderId="10" xfId="4" applyFont="1" applyFill="1" applyBorder="1" applyAlignment="1">
      <alignment horizontal="right" vertical="center"/>
    </xf>
    <xf numFmtId="9" fontId="8" fillId="0" borderId="10" xfId="4" applyNumberFormat="1" applyFont="1" applyBorder="1" applyAlignment="1">
      <alignment vertical="center"/>
    </xf>
    <xf numFmtId="0" fontId="12" fillId="0" borderId="0" xfId="4" applyFont="1"/>
    <xf numFmtId="0" fontId="8" fillId="0" borderId="0" xfId="4" applyFont="1" applyAlignment="1">
      <alignment vertical="center" wrapText="1"/>
    </xf>
    <xf numFmtId="0" fontId="8" fillId="0" borderId="0" xfId="4" applyFont="1" applyAlignment="1">
      <alignment horizontal="center" vertical="center"/>
    </xf>
    <xf numFmtId="0" fontId="11" fillId="2" borderId="10" xfId="4" applyFont="1" applyFill="1" applyBorder="1" applyAlignment="1">
      <alignment horizontal="center"/>
    </xf>
    <xf numFmtId="0" fontId="8" fillId="0" borderId="10" xfId="4" applyFont="1" applyBorder="1" applyAlignment="1">
      <alignment horizontal="center"/>
    </xf>
    <xf numFmtId="0" fontId="8" fillId="0" borderId="10" xfId="4" applyFont="1" applyBorder="1" applyAlignment="1">
      <alignment horizontal="center" vertical="center"/>
    </xf>
    <xf numFmtId="0" fontId="6" fillId="3" borderId="10" xfId="4" applyFont="1" applyFill="1" applyBorder="1" applyAlignment="1">
      <alignment horizontal="center" vertical="center"/>
    </xf>
    <xf numFmtId="0" fontId="6" fillId="3" borderId="10" xfId="4" applyFont="1" applyFill="1" applyBorder="1" applyAlignment="1">
      <alignment horizontal="center" vertical="center" wrapText="1"/>
    </xf>
    <xf numFmtId="0" fontId="6" fillId="3" borderId="18" xfId="4" applyFont="1" applyFill="1" applyBorder="1" applyAlignment="1">
      <alignment horizontal="center" vertical="center" wrapText="1"/>
    </xf>
    <xf numFmtId="10" fontId="9" fillId="2" borderId="10" xfId="4" applyNumberFormat="1" applyFont="1" applyFill="1" applyBorder="1" applyAlignment="1">
      <alignment horizontal="center" vertical="center"/>
    </xf>
    <xf numFmtId="0" fontId="8" fillId="5" borderId="10" xfId="4" applyFont="1" applyFill="1" applyBorder="1" applyAlignment="1">
      <alignment horizontal="center" vertical="center"/>
    </xf>
    <xf numFmtId="0" fontId="8" fillId="5" borderId="10" xfId="4" applyFont="1" applyFill="1" applyBorder="1" applyAlignment="1">
      <alignment vertical="center"/>
    </xf>
    <xf numFmtId="0" fontId="8" fillId="6" borderId="10" xfId="4" applyFont="1" applyFill="1" applyBorder="1" applyAlignment="1">
      <alignment vertical="center"/>
    </xf>
    <xf numFmtId="0" fontId="8" fillId="7" borderId="10" xfId="4" applyFont="1" applyFill="1" applyBorder="1" applyAlignment="1">
      <alignment vertical="center"/>
    </xf>
    <xf numFmtId="0" fontId="8" fillId="6" borderId="10" xfId="4" applyFont="1" applyFill="1" applyBorder="1" applyAlignment="1">
      <alignment vertical="center" wrapText="1"/>
    </xf>
    <xf numFmtId="0" fontId="8" fillId="6" borderId="10" xfId="4" applyFont="1" applyFill="1" applyBorder="1" applyAlignment="1">
      <alignment horizontal="center" vertical="center"/>
    </xf>
    <xf numFmtId="0" fontId="8" fillId="8" borderId="10" xfId="4" applyFont="1" applyFill="1" applyBorder="1" applyAlignment="1">
      <alignment vertical="center"/>
    </xf>
    <xf numFmtId="9" fontId="8" fillId="6" borderId="10" xfId="4" applyNumberFormat="1" applyFont="1" applyFill="1" applyBorder="1" applyAlignment="1">
      <alignment vertical="center"/>
    </xf>
    <xf numFmtId="0" fontId="9" fillId="2" borderId="10" xfId="4" applyFont="1" applyFill="1" applyBorder="1"/>
    <xf numFmtId="0" fontId="8" fillId="2" borderId="10" xfId="4" applyFont="1" applyFill="1" applyBorder="1"/>
    <xf numFmtId="0" fontId="8" fillId="2" borderId="10" xfId="4" applyFont="1" applyFill="1" applyBorder="1" applyAlignment="1">
      <alignment horizontal="center"/>
    </xf>
    <xf numFmtId="10" fontId="8" fillId="0" borderId="10" xfId="5" applyNumberFormat="1" applyFont="1" applyBorder="1" applyAlignment="1">
      <alignment horizontal="center"/>
    </xf>
    <xf numFmtId="10" fontId="8" fillId="0" borderId="10" xfId="3" applyNumberFormat="1" applyFont="1" applyBorder="1" applyAlignment="1">
      <alignment horizontal="center" vertical="center"/>
    </xf>
    <xf numFmtId="0" fontId="6" fillId="0" borderId="0" xfId="4" applyFont="1"/>
    <xf numFmtId="0" fontId="6" fillId="0" borderId="0" xfId="4" applyFont="1" applyAlignment="1">
      <alignment vertical="center" wrapText="1"/>
    </xf>
    <xf numFmtId="9" fontId="8" fillId="0" borderId="0" xfId="3" applyFont="1" applyFill="1" applyBorder="1"/>
    <xf numFmtId="0" fontId="6" fillId="0" borderId="0" xfId="4" applyFont="1" applyAlignment="1">
      <alignment horizontal="center"/>
    </xf>
    <xf numFmtId="0" fontId="6" fillId="3" borderId="18" xfId="4" applyFont="1" applyFill="1" applyBorder="1" applyAlignment="1">
      <alignment horizontal="center" vertical="center"/>
    </xf>
    <xf numFmtId="0" fontId="6" fillId="3" borderId="41" xfId="4" applyFont="1" applyFill="1" applyBorder="1" applyAlignment="1">
      <alignment horizontal="center" vertical="center"/>
    </xf>
    <xf numFmtId="0" fontId="8" fillId="5" borderId="10" xfId="4" applyFont="1" applyFill="1" applyBorder="1"/>
    <xf numFmtId="0" fontId="8" fillId="9" borderId="10" xfId="4" applyFont="1" applyFill="1" applyBorder="1"/>
    <xf numFmtId="0" fontId="8" fillId="9" borderId="7" xfId="4" applyFont="1" applyFill="1" applyBorder="1"/>
    <xf numFmtId="0" fontId="8" fillId="7" borderId="10" xfId="4" applyFont="1" applyFill="1" applyBorder="1"/>
    <xf numFmtId="9" fontId="14" fillId="0" borderId="0" xfId="4" applyNumberFormat="1" applyFont="1"/>
    <xf numFmtId="0" fontId="8" fillId="6" borderId="10" xfId="4" applyFont="1" applyFill="1" applyBorder="1"/>
    <xf numFmtId="9" fontId="8" fillId="6" borderId="10" xfId="4" applyNumberFormat="1" applyFont="1" applyFill="1" applyBorder="1"/>
    <xf numFmtId="0" fontId="14" fillId="0" borderId="0" xfId="4" applyFont="1"/>
    <xf numFmtId="0" fontId="15" fillId="0" borderId="0" xfId="4" applyFont="1"/>
    <xf numFmtId="10" fontId="8" fillId="6" borderId="10" xfId="4" applyNumberFormat="1" applyFont="1" applyFill="1" applyBorder="1"/>
    <xf numFmtId="0" fontId="8" fillId="5" borderId="10" xfId="4" quotePrefix="1" applyFont="1" applyFill="1" applyBorder="1"/>
    <xf numFmtId="0" fontId="8" fillId="6" borderId="10" xfId="4" applyFont="1" applyFill="1" applyBorder="1" applyAlignment="1">
      <alignment wrapText="1"/>
    </xf>
    <xf numFmtId="10" fontId="9" fillId="2" borderId="10" xfId="4" applyNumberFormat="1" applyFont="1" applyFill="1" applyBorder="1" applyAlignment="1">
      <alignment horizontal="center"/>
    </xf>
    <xf numFmtId="10" fontId="8" fillId="0" borderId="10" xfId="3" applyNumberFormat="1" applyFont="1" applyFill="1" applyBorder="1" applyAlignment="1">
      <alignment horizontal="center"/>
    </xf>
    <xf numFmtId="0" fontId="11" fillId="0" borderId="0" xfId="4" applyFont="1"/>
    <xf numFmtId="0" fontId="13" fillId="0" borderId="0" xfId="4" applyFont="1"/>
    <xf numFmtId="10" fontId="8" fillId="0" borderId="10" xfId="5" applyNumberFormat="1" applyFont="1" applyBorder="1" applyAlignment="1">
      <alignment horizontal="center" vertical="center"/>
    </xf>
    <xf numFmtId="0" fontId="9" fillId="2" borderId="10" xfId="4" applyFont="1" applyFill="1" applyBorder="1" applyAlignment="1">
      <alignment horizontal="center"/>
    </xf>
    <xf numFmtId="0" fontId="13" fillId="0" borderId="10" xfId="4" applyFont="1" applyBorder="1" applyAlignment="1">
      <alignment vertical="center" wrapText="1"/>
    </xf>
    <xf numFmtId="0" fontId="13" fillId="0" borderId="10" xfId="4" applyFont="1" applyBorder="1" applyAlignment="1">
      <alignment horizontal="center" vertical="center"/>
    </xf>
    <xf numFmtId="0" fontId="7" fillId="0" borderId="0" xfId="4" applyFont="1"/>
    <xf numFmtId="0" fontId="17" fillId="3" borderId="10" xfId="0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9" fontId="18" fillId="0" borderId="10" xfId="0" applyNumberFormat="1" applyFont="1" applyBorder="1"/>
    <xf numFmtId="164" fontId="18" fillId="0" borderId="10" xfId="1" applyNumberFormat="1" applyFont="1" applyBorder="1"/>
    <xf numFmtId="170" fontId="18" fillId="0" borderId="10" xfId="3" applyNumberFormat="1" applyFont="1" applyBorder="1"/>
    <xf numFmtId="10" fontId="18" fillId="0" borderId="10" xfId="3" applyNumberFormat="1" applyFont="1" applyBorder="1"/>
    <xf numFmtId="0" fontId="18" fillId="0" borderId="0" xfId="0" applyFont="1"/>
    <xf numFmtId="9" fontId="18" fillId="10" borderId="10" xfId="0" applyNumberFormat="1" applyFont="1" applyFill="1" applyBorder="1"/>
    <xf numFmtId="164" fontId="18" fillId="10" borderId="10" xfId="1" applyNumberFormat="1" applyFont="1" applyFill="1" applyBorder="1"/>
    <xf numFmtId="170" fontId="18" fillId="10" borderId="10" xfId="3" applyNumberFormat="1" applyFont="1" applyFill="1" applyBorder="1"/>
    <xf numFmtId="10" fontId="18" fillId="10" borderId="10" xfId="3" applyNumberFormat="1" applyFont="1" applyFill="1" applyBorder="1"/>
    <xf numFmtId="9" fontId="18" fillId="0" borderId="0" xfId="0" applyNumberFormat="1" applyFont="1"/>
    <xf numFmtId="15" fontId="18" fillId="0" borderId="0" xfId="0" applyNumberFormat="1" applyFont="1"/>
    <xf numFmtId="0" fontId="18" fillId="0" borderId="0" xfId="0" applyFont="1" applyAlignment="1">
      <alignment horizontal="center" vertical="center" wrapText="1"/>
    </xf>
    <xf numFmtId="170" fontId="18" fillId="0" borderId="10" xfId="3" applyNumberFormat="1" applyFont="1" applyFill="1" applyBorder="1"/>
    <xf numFmtId="0" fontId="17" fillId="3" borderId="1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173" fontId="18" fillId="0" borderId="10" xfId="1" applyNumberFormat="1" applyFont="1" applyBorder="1"/>
    <xf numFmtId="170" fontId="18" fillId="0" borderId="0" xfId="3" applyNumberFormat="1" applyFont="1" applyFill="1" applyBorder="1"/>
    <xf numFmtId="173" fontId="18" fillId="10" borderId="10" xfId="1" applyNumberFormat="1" applyFont="1" applyFill="1" applyBorder="1"/>
    <xf numFmtId="0" fontId="19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20" fillId="3" borderId="9" xfId="0" applyFont="1" applyFill="1" applyBorder="1" applyAlignment="1">
      <alignment vertical="center"/>
    </xf>
    <xf numFmtId="0" fontId="20" fillId="3" borderId="33" xfId="0" applyFont="1" applyFill="1" applyBorder="1" applyAlignment="1">
      <alignment horizontal="center" vertical="center" wrapText="1"/>
    </xf>
    <xf numFmtId="0" fontId="20" fillId="10" borderId="33" xfId="0" applyFont="1" applyFill="1" applyBorder="1" applyAlignment="1">
      <alignment horizontal="center" vertical="center" wrapText="1"/>
    </xf>
    <xf numFmtId="0" fontId="20" fillId="3" borderId="29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vertical="center"/>
    </xf>
    <xf numFmtId="165" fontId="20" fillId="3" borderId="33" xfId="0" applyNumberFormat="1" applyFont="1" applyFill="1" applyBorder="1" applyAlignment="1">
      <alignment horizontal="center" vertical="center"/>
    </xf>
    <xf numFmtId="165" fontId="20" fillId="3" borderId="29" xfId="0" applyNumberFormat="1" applyFont="1" applyFill="1" applyBorder="1" applyAlignment="1">
      <alignment horizontal="center" vertical="center"/>
    </xf>
    <xf numFmtId="165" fontId="7" fillId="0" borderId="0" xfId="3" applyNumberFormat="1" applyFont="1" applyAlignment="1">
      <alignment vertical="center"/>
    </xf>
    <xf numFmtId="0" fontId="20" fillId="3" borderId="8" xfId="0" applyFont="1" applyFill="1" applyBorder="1" applyAlignment="1">
      <alignment vertical="center"/>
    </xf>
    <xf numFmtId="165" fontId="20" fillId="3" borderId="33" xfId="0" applyNumberFormat="1" applyFont="1" applyFill="1" applyBorder="1" applyAlignment="1">
      <alignment vertical="center"/>
    </xf>
    <xf numFmtId="165" fontId="20" fillId="10" borderId="33" xfId="0" applyNumberFormat="1" applyFont="1" applyFill="1" applyBorder="1" applyAlignment="1">
      <alignment vertical="center"/>
    </xf>
    <xf numFmtId="165" fontId="20" fillId="3" borderId="29" xfId="0" applyNumberFormat="1" applyFont="1" applyFill="1" applyBorder="1" applyAlignment="1">
      <alignment vertical="center"/>
    </xf>
    <xf numFmtId="0" fontId="19" fillId="0" borderId="4" xfId="0" applyFont="1" applyBorder="1" applyAlignment="1">
      <alignment horizontal="center" vertical="center"/>
    </xf>
    <xf numFmtId="165" fontId="19" fillId="0" borderId="33" xfId="3" applyNumberFormat="1" applyFont="1" applyBorder="1" applyAlignment="1">
      <alignment horizontal="center" vertical="center"/>
    </xf>
    <xf numFmtId="9" fontId="19" fillId="0" borderId="29" xfId="0" applyNumberFormat="1" applyFont="1" applyBorder="1" applyAlignment="1">
      <alignment horizontal="center" vertical="center"/>
    </xf>
    <xf numFmtId="165" fontId="19" fillId="0" borderId="0" xfId="3" applyNumberFormat="1" applyFont="1" applyBorder="1" applyAlignment="1">
      <alignment horizontal="center" vertical="center"/>
    </xf>
    <xf numFmtId="9" fontId="19" fillId="0" borderId="0" xfId="0" applyNumberFormat="1" applyFont="1" applyAlignment="1">
      <alignment horizontal="center" vertical="center"/>
    </xf>
    <xf numFmtId="0" fontId="20" fillId="3" borderId="51" xfId="0" applyFont="1" applyFill="1" applyBorder="1" applyAlignment="1">
      <alignment horizontal="center" vertical="center"/>
    </xf>
    <xf numFmtId="0" fontId="20" fillId="3" borderId="45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164" fontId="7" fillId="0" borderId="17" xfId="1" applyNumberFormat="1" applyFont="1" applyBorder="1" applyAlignment="1">
      <alignment horizontal="center" vertical="center"/>
    </xf>
    <xf numFmtId="164" fontId="7" fillId="0" borderId="44" xfId="1" applyNumberFormat="1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164" fontId="7" fillId="0" borderId="17" xfId="1" applyNumberFormat="1" applyFont="1" applyFill="1" applyBorder="1" applyAlignment="1">
      <alignment horizontal="center" vertical="center"/>
    </xf>
    <xf numFmtId="164" fontId="7" fillId="0" borderId="33" xfId="1" applyNumberFormat="1" applyFont="1" applyBorder="1" applyAlignment="1">
      <alignment horizontal="center" vertical="center"/>
    </xf>
    <xf numFmtId="164" fontId="7" fillId="0" borderId="29" xfId="1" applyNumberFormat="1" applyFont="1" applyBorder="1" applyAlignment="1">
      <alignment horizontal="center" vertical="center"/>
    </xf>
    <xf numFmtId="164" fontId="19" fillId="0" borderId="0" xfId="1" applyNumberFormat="1" applyFont="1" applyBorder="1" applyAlignment="1">
      <alignment horizontal="center" vertical="center"/>
    </xf>
    <xf numFmtId="0" fontId="20" fillId="3" borderId="11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19" fillId="0" borderId="8" xfId="0" applyFont="1" applyBorder="1" applyAlignment="1">
      <alignment vertical="center"/>
    </xf>
    <xf numFmtId="0" fontId="19" fillId="0" borderId="8" xfId="0" applyFont="1" applyBorder="1" applyAlignment="1">
      <alignment vertical="center" wrapText="1"/>
    </xf>
    <xf numFmtId="0" fontId="19" fillId="0" borderId="4" xfId="0" applyFont="1" applyBorder="1" applyAlignment="1">
      <alignment horizontal="left" vertical="center"/>
    </xf>
    <xf numFmtId="0" fontId="21" fillId="0" borderId="43" xfId="0" applyFont="1" applyBorder="1" applyAlignment="1">
      <alignment vertical="center"/>
    </xf>
    <xf numFmtId="0" fontId="22" fillId="0" borderId="8" xfId="0" applyFont="1" applyBorder="1" applyAlignment="1">
      <alignment vertical="center" wrapText="1"/>
    </xf>
    <xf numFmtId="164" fontId="7" fillId="0" borderId="10" xfId="1" applyNumberFormat="1" applyFont="1" applyFill="1" applyBorder="1" applyAlignment="1">
      <alignment horizontal="center" vertical="center"/>
    </xf>
    <xf numFmtId="0" fontId="21" fillId="0" borderId="8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21" fillId="0" borderId="8" xfId="0" applyFont="1" applyBorder="1" applyAlignment="1">
      <alignment vertical="center"/>
    </xf>
    <xf numFmtId="0" fontId="22" fillId="0" borderId="8" xfId="0" applyFont="1" applyBorder="1" applyAlignment="1">
      <alignment vertical="center"/>
    </xf>
    <xf numFmtId="0" fontId="7" fillId="0" borderId="8" xfId="0" applyFont="1" applyBorder="1" applyAlignment="1">
      <alignment wrapText="1"/>
    </xf>
    <xf numFmtId="0" fontId="7" fillId="0" borderId="4" xfId="0" applyFont="1" applyBorder="1" applyAlignment="1">
      <alignment wrapText="1"/>
    </xf>
    <xf numFmtId="165" fontId="7" fillId="0" borderId="10" xfId="3" applyNumberFormat="1" applyFont="1" applyFill="1" applyBorder="1" applyAlignment="1">
      <alignment horizontal="center" vertical="center"/>
    </xf>
    <xf numFmtId="0" fontId="7" fillId="0" borderId="43" xfId="0" applyFont="1" applyBorder="1" applyAlignment="1">
      <alignment vertical="center"/>
    </xf>
    <xf numFmtId="165" fontId="7" fillId="0" borderId="17" xfId="0" applyNumberFormat="1" applyFont="1" applyBorder="1" applyAlignment="1">
      <alignment vertical="center"/>
    </xf>
    <xf numFmtId="165" fontId="7" fillId="0" borderId="10" xfId="0" applyNumberFormat="1" applyFont="1" applyBorder="1" applyAlignment="1">
      <alignment vertical="center"/>
    </xf>
    <xf numFmtId="165" fontId="7" fillId="0" borderId="10" xfId="3" applyNumberFormat="1" applyFont="1" applyFill="1" applyBorder="1" applyAlignment="1">
      <alignment vertical="center"/>
    </xf>
    <xf numFmtId="164" fontId="19" fillId="0" borderId="9" xfId="0" applyNumberFormat="1" applyFont="1" applyBorder="1" applyAlignment="1">
      <alignment vertical="center"/>
    </xf>
    <xf numFmtId="164" fontId="7" fillId="0" borderId="10" xfId="1" applyNumberFormat="1" applyFont="1" applyFill="1" applyBorder="1" applyAlignment="1">
      <alignment vertical="center"/>
    </xf>
    <xf numFmtId="0" fontId="24" fillId="3" borderId="0" xfId="4" applyFont="1" applyFill="1" applyAlignment="1">
      <alignment horizontal="center"/>
    </xf>
    <xf numFmtId="0" fontId="25" fillId="0" borderId="0" xfId="4" applyFont="1"/>
    <xf numFmtId="0" fontId="25" fillId="0" borderId="0" xfId="4" applyFont="1" applyAlignment="1">
      <alignment horizontal="center"/>
    </xf>
    <xf numFmtId="0" fontId="24" fillId="3" borderId="26" xfId="4" applyFont="1" applyFill="1" applyBorder="1" applyAlignment="1">
      <alignment horizontal="center" vertical="center" wrapText="1"/>
    </xf>
    <xf numFmtId="0" fontId="24" fillId="3" borderId="43" xfId="4" applyFont="1" applyFill="1" applyBorder="1" applyAlignment="1">
      <alignment horizontal="center" vertical="center" wrapText="1"/>
    </xf>
    <xf numFmtId="0" fontId="24" fillId="3" borderId="46" xfId="4" applyFont="1" applyFill="1" applyBorder="1" applyAlignment="1">
      <alignment horizontal="center" vertical="center" wrapText="1"/>
    </xf>
    <xf numFmtId="0" fontId="24" fillId="3" borderId="50" xfId="4" applyFont="1" applyFill="1" applyBorder="1" applyAlignment="1">
      <alignment horizontal="center" vertical="center" wrapText="1"/>
    </xf>
    <xf numFmtId="0" fontId="24" fillId="3" borderId="18" xfId="4" applyFont="1" applyFill="1" applyBorder="1" applyAlignment="1">
      <alignment horizontal="center" vertical="center" wrapText="1"/>
    </xf>
    <xf numFmtId="0" fontId="26" fillId="0" borderId="0" xfId="4" applyFont="1" applyAlignment="1">
      <alignment horizontal="center" vertical="center" wrapText="1"/>
    </xf>
    <xf numFmtId="0" fontId="26" fillId="0" borderId="0" xfId="9" applyFont="1" applyAlignment="1">
      <alignment horizontal="center" vertical="center" wrapText="1"/>
    </xf>
    <xf numFmtId="0" fontId="24" fillId="3" borderId="8" xfId="4" applyFont="1" applyFill="1" applyBorder="1" applyAlignment="1">
      <alignment horizontal="center" vertical="center" wrapText="1"/>
    </xf>
    <xf numFmtId="0" fontId="24" fillId="3" borderId="47" xfId="4" applyFont="1" applyFill="1" applyBorder="1" applyAlignment="1">
      <alignment horizontal="center" vertical="center" wrapText="1"/>
    </xf>
    <xf numFmtId="0" fontId="26" fillId="0" borderId="26" xfId="4" applyFont="1" applyBorder="1" applyAlignment="1">
      <alignment vertical="center" wrapText="1"/>
    </xf>
    <xf numFmtId="10" fontId="26" fillId="0" borderId="34" xfId="5" applyNumberFormat="1" applyFont="1" applyFill="1" applyBorder="1" applyAlignment="1">
      <alignment horizontal="center" vertical="center" wrapText="1"/>
    </xf>
    <xf numFmtId="10" fontId="26" fillId="0" borderId="25" xfId="4" applyNumberFormat="1" applyFont="1" applyBorder="1" applyAlignment="1">
      <alignment horizontal="center" vertical="center" wrapText="1"/>
    </xf>
    <xf numFmtId="0" fontId="26" fillId="0" borderId="8" xfId="4" applyFont="1" applyBorder="1" applyAlignment="1">
      <alignment vertical="center" wrapText="1"/>
    </xf>
    <xf numFmtId="10" fontId="26" fillId="0" borderId="10" xfId="5" applyNumberFormat="1" applyFont="1" applyFill="1" applyBorder="1" applyAlignment="1">
      <alignment horizontal="center" vertical="center" wrapText="1"/>
    </xf>
    <xf numFmtId="10" fontId="26" fillId="0" borderId="9" xfId="4" applyNumberFormat="1" applyFont="1" applyBorder="1" applyAlignment="1">
      <alignment horizontal="center" vertical="center" wrapText="1"/>
    </xf>
    <xf numFmtId="0" fontId="25" fillId="0" borderId="0" xfId="0" applyFont="1"/>
    <xf numFmtId="10" fontId="25" fillId="0" borderId="10" xfId="4" applyNumberFormat="1" applyFont="1" applyBorder="1" applyAlignment="1">
      <alignment horizontal="center"/>
    </xf>
    <xf numFmtId="0" fontId="26" fillId="0" borderId="4" xfId="4" applyFont="1" applyBorder="1" applyAlignment="1">
      <alignment vertical="center" wrapText="1"/>
    </xf>
    <xf numFmtId="10" fontId="25" fillId="0" borderId="33" xfId="4" applyNumberFormat="1" applyFont="1" applyBorder="1" applyAlignment="1">
      <alignment horizontal="center"/>
    </xf>
    <xf numFmtId="10" fontId="25" fillId="0" borderId="29" xfId="4" applyNumberFormat="1" applyFont="1" applyBorder="1" applyAlignment="1">
      <alignment horizontal="center"/>
    </xf>
    <xf numFmtId="0" fontId="26" fillId="0" borderId="0" xfId="4" applyFont="1" applyAlignment="1">
      <alignment vertical="center" wrapText="1"/>
    </xf>
    <xf numFmtId="10" fontId="25" fillId="0" borderId="0" xfId="4" applyNumberFormat="1" applyFont="1" applyAlignment="1">
      <alignment horizontal="center"/>
    </xf>
    <xf numFmtId="0" fontId="24" fillId="3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65" fontId="27" fillId="0" borderId="0" xfId="3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9" fontId="27" fillId="0" borderId="0" xfId="0" applyNumberFormat="1" applyFont="1" applyAlignment="1">
      <alignment horizontal="center" vertical="center"/>
    </xf>
    <xf numFmtId="0" fontId="25" fillId="0" borderId="10" xfId="0" applyFont="1" applyBorder="1" applyAlignment="1">
      <alignment horizontal="left" vertical="center"/>
    </xf>
    <xf numFmtId="164" fontId="25" fillId="0" borderId="10" xfId="1" applyNumberFormat="1" applyFont="1" applyBorder="1" applyAlignment="1">
      <alignment horizontal="center" vertical="center"/>
    </xf>
    <xf numFmtId="44" fontId="25" fillId="0" borderId="0" xfId="2" applyFont="1" applyAlignment="1">
      <alignment vertical="center"/>
    </xf>
    <xf numFmtId="0" fontId="25" fillId="0" borderId="10" xfId="0" applyFont="1" applyBorder="1" applyAlignment="1">
      <alignment horizontal="left" vertical="center" wrapText="1"/>
    </xf>
    <xf numFmtId="164" fontId="25" fillId="0" borderId="0" xfId="4" applyNumberFormat="1" applyFont="1"/>
    <xf numFmtId="0" fontId="24" fillId="3" borderId="48" xfId="0" applyFont="1" applyFill="1" applyBorder="1" applyAlignment="1">
      <alignment horizontal="center" vertical="center" wrapText="1"/>
    </xf>
    <xf numFmtId="0" fontId="24" fillId="3" borderId="49" xfId="0" applyFont="1" applyFill="1" applyBorder="1" applyAlignment="1">
      <alignment horizontal="center" vertical="center" wrapText="1"/>
    </xf>
    <xf numFmtId="0" fontId="24" fillId="3" borderId="36" xfId="0" applyFont="1" applyFill="1" applyBorder="1" applyAlignment="1">
      <alignment horizontal="center" vertical="center" wrapText="1"/>
    </xf>
    <xf numFmtId="0" fontId="25" fillId="0" borderId="43" xfId="0" applyFont="1" applyBorder="1" applyAlignment="1">
      <alignment horizontal="left" vertical="center"/>
    </xf>
    <xf numFmtId="164" fontId="25" fillId="0" borderId="17" xfId="1" applyNumberFormat="1" applyFont="1" applyBorder="1" applyAlignment="1">
      <alignment horizontal="center" vertical="center"/>
    </xf>
    <xf numFmtId="164" fontId="25" fillId="0" borderId="44" xfId="1" applyNumberFormat="1" applyFont="1" applyBorder="1" applyAlignment="1">
      <alignment horizontal="center" vertical="center"/>
    </xf>
    <xf numFmtId="44" fontId="25" fillId="0" borderId="0" xfId="2" applyFont="1"/>
    <xf numFmtId="0" fontId="25" fillId="0" borderId="8" xfId="0" applyFont="1" applyBorder="1" applyAlignment="1">
      <alignment horizontal="left" vertical="center"/>
    </xf>
    <xf numFmtId="164" fontId="25" fillId="0" borderId="9" xfId="1" applyNumberFormat="1" applyFont="1" applyBorder="1" applyAlignment="1">
      <alignment horizontal="center" vertical="center"/>
    </xf>
    <xf numFmtId="165" fontId="25" fillId="0" borderId="4" xfId="3" applyNumberFormat="1" applyFont="1" applyBorder="1" applyAlignment="1">
      <alignment horizontal="left" vertical="center"/>
    </xf>
    <xf numFmtId="164" fontId="27" fillId="0" borderId="33" xfId="1" applyNumberFormat="1" applyFont="1" applyBorder="1" applyAlignment="1">
      <alignment horizontal="center" vertical="center"/>
    </xf>
    <xf numFmtId="164" fontId="27" fillId="0" borderId="29" xfId="1" applyNumberFormat="1" applyFont="1" applyBorder="1" applyAlignment="1">
      <alignment horizontal="center" vertical="center"/>
    </xf>
    <xf numFmtId="164" fontId="27" fillId="0" borderId="0" xfId="1" applyNumberFormat="1" applyFont="1" applyBorder="1" applyAlignment="1">
      <alignment horizontal="center" vertical="center"/>
    </xf>
    <xf numFmtId="164" fontId="25" fillId="0" borderId="0" xfId="0" applyNumberFormat="1" applyFont="1"/>
    <xf numFmtId="164" fontId="27" fillId="0" borderId="0" xfId="0" applyNumberFormat="1" applyFont="1" applyAlignment="1">
      <alignment horizontal="center" vertical="center"/>
    </xf>
    <xf numFmtId="164" fontId="25" fillId="0" borderId="17" xfId="1" applyNumberFormat="1" applyFont="1" applyBorder="1" applyAlignment="1">
      <alignment vertical="center"/>
    </xf>
    <xf numFmtId="164" fontId="27" fillId="0" borderId="33" xfId="0" applyNumberFormat="1" applyFont="1" applyBorder="1" applyAlignment="1">
      <alignment horizontal="center" vertical="center"/>
    </xf>
    <xf numFmtId="165" fontId="25" fillId="0" borderId="0" xfId="3" applyNumberFormat="1" applyFont="1" applyBorder="1" applyAlignment="1">
      <alignment horizontal="left" vertical="center"/>
    </xf>
    <xf numFmtId="10" fontId="25" fillId="0" borderId="17" xfId="3" applyNumberFormat="1" applyFont="1" applyBorder="1" applyAlignment="1">
      <alignment horizontal="center" vertical="center"/>
    </xf>
    <xf numFmtId="10" fontId="25" fillId="0" borderId="44" xfId="3" applyNumberFormat="1" applyFont="1" applyBorder="1" applyAlignment="1">
      <alignment horizontal="center" vertical="center"/>
    </xf>
    <xf numFmtId="9" fontId="27" fillId="0" borderId="33" xfId="3" applyFont="1" applyBorder="1" applyAlignment="1">
      <alignment horizontal="center" vertical="center"/>
    </xf>
    <xf numFmtId="9" fontId="27" fillId="0" borderId="29" xfId="3" applyFont="1" applyBorder="1" applyAlignment="1">
      <alignment horizontal="center" vertical="center"/>
    </xf>
    <xf numFmtId="43" fontId="25" fillId="0" borderId="17" xfId="1" applyFont="1" applyBorder="1" applyAlignment="1">
      <alignment vertical="center"/>
    </xf>
    <xf numFmtId="169" fontId="25" fillId="0" borderId="17" xfId="1" applyNumberFormat="1" applyFont="1" applyBorder="1" applyAlignment="1">
      <alignment vertical="center"/>
    </xf>
    <xf numFmtId="0" fontId="25" fillId="0" borderId="44" xfId="0" applyFont="1" applyBorder="1" applyAlignment="1">
      <alignment horizontal="center" vertical="center"/>
    </xf>
    <xf numFmtId="10" fontId="25" fillId="0" borderId="10" xfId="3" applyNumberFormat="1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9" fontId="27" fillId="0" borderId="33" xfId="0" applyNumberFormat="1" applyFont="1" applyBorder="1" applyAlignment="1">
      <alignment horizontal="center" vertical="center"/>
    </xf>
    <xf numFmtId="0" fontId="25" fillId="0" borderId="29" xfId="0" applyFont="1" applyBorder="1"/>
    <xf numFmtId="9" fontId="25" fillId="0" borderId="0" xfId="0" applyNumberFormat="1" applyFont="1"/>
    <xf numFmtId="43" fontId="25" fillId="0" borderId="0" xfId="4" applyNumberFormat="1" applyFont="1"/>
    <xf numFmtId="10" fontId="25" fillId="0" borderId="0" xfId="3" applyNumberFormat="1" applyFont="1" applyBorder="1" applyAlignment="1">
      <alignment vertical="center"/>
    </xf>
    <xf numFmtId="43" fontId="25" fillId="0" borderId="0" xfId="0" applyNumberFormat="1" applyFont="1"/>
    <xf numFmtId="0" fontId="28" fillId="0" borderId="0" xfId="0" applyFont="1" applyAlignment="1">
      <alignment horizontal="right" vertical="top" wrapText="1" readingOrder="1"/>
    </xf>
    <xf numFmtId="0" fontId="25" fillId="0" borderId="8" xfId="4" applyFont="1" applyBorder="1"/>
    <xf numFmtId="10" fontId="25" fillId="0" borderId="0" xfId="3" applyNumberFormat="1" applyFont="1"/>
    <xf numFmtId="0" fontId="24" fillId="3" borderId="4" xfId="4" applyFont="1" applyFill="1" applyBorder="1" applyAlignment="1">
      <alignment horizontal="center" vertical="center" wrapText="1"/>
    </xf>
    <xf numFmtId="44" fontId="25" fillId="0" borderId="0" xfId="4" applyNumberFormat="1" applyFont="1"/>
    <xf numFmtId="168" fontId="29" fillId="0" borderId="0" xfId="0" applyNumberFormat="1" applyFont="1"/>
    <xf numFmtId="0" fontId="25" fillId="0" borderId="32" xfId="4" applyFont="1" applyBorder="1"/>
    <xf numFmtId="0" fontId="25" fillId="0" borderId="31" xfId="4" applyFont="1" applyBorder="1"/>
    <xf numFmtId="0" fontId="25" fillId="0" borderId="30" xfId="4" applyFont="1" applyBorder="1"/>
    <xf numFmtId="0" fontId="25" fillId="0" borderId="23" xfId="4" applyFont="1" applyBorder="1"/>
    <xf numFmtId="171" fontId="25" fillId="0" borderId="15" xfId="4" applyNumberFormat="1" applyFont="1" applyBorder="1"/>
    <xf numFmtId="170" fontId="25" fillId="0" borderId="22" xfId="5" applyNumberFormat="1" applyFont="1" applyBorder="1" applyAlignment="1">
      <alignment vertical="center"/>
    </xf>
    <xf numFmtId="43" fontId="25" fillId="0" borderId="0" xfId="1" applyFont="1"/>
    <xf numFmtId="170" fontId="25" fillId="0" borderId="0" xfId="3" applyNumberFormat="1" applyFont="1"/>
    <xf numFmtId="171" fontId="25" fillId="0" borderId="0" xfId="4" applyNumberFormat="1" applyFont="1" applyAlignment="1">
      <alignment horizontal="center" vertical="center"/>
    </xf>
    <xf numFmtId="167" fontId="25" fillId="0" borderId="22" xfId="5" applyNumberFormat="1" applyFont="1" applyBorder="1" applyAlignment="1">
      <alignment vertical="center"/>
    </xf>
    <xf numFmtId="171" fontId="25" fillId="0" borderId="0" xfId="4" applyNumberFormat="1" applyFont="1"/>
    <xf numFmtId="0" fontId="25" fillId="0" borderId="21" xfId="4" applyFont="1" applyBorder="1"/>
    <xf numFmtId="0" fontId="25" fillId="0" borderId="20" xfId="4" applyFont="1" applyBorder="1"/>
    <xf numFmtId="0" fontId="25" fillId="0" borderId="19" xfId="4" applyFont="1" applyBorder="1"/>
    <xf numFmtId="170" fontId="25" fillId="0" borderId="30" xfId="4" applyNumberFormat="1" applyFont="1" applyBorder="1"/>
    <xf numFmtId="170" fontId="25" fillId="0" borderId="22" xfId="4" applyNumberFormat="1" applyFont="1" applyBorder="1"/>
    <xf numFmtId="170" fontId="25" fillId="0" borderId="19" xfId="4" applyNumberFormat="1" applyFont="1" applyBorder="1"/>
    <xf numFmtId="0" fontId="30" fillId="0" borderId="10" xfId="4" applyFont="1" applyBorder="1"/>
    <xf numFmtId="164" fontId="30" fillId="0" borderId="10" xfId="4" applyNumberFormat="1" applyFont="1" applyBorder="1"/>
    <xf numFmtId="167" fontId="25" fillId="0" borderId="0" xfId="5" applyNumberFormat="1" applyFont="1" applyBorder="1" applyAlignment="1">
      <alignment vertical="center"/>
    </xf>
    <xf numFmtId="164" fontId="25" fillId="0" borderId="10" xfId="4" applyNumberFormat="1" applyFont="1" applyBorder="1"/>
    <xf numFmtId="0" fontId="31" fillId="0" borderId="0" xfId="4" applyFont="1"/>
    <xf numFmtId="164" fontId="25" fillId="0" borderId="10" xfId="1" applyNumberFormat="1" applyFont="1" applyFill="1" applyBorder="1" applyAlignment="1">
      <alignment horizontal="center" vertical="center"/>
    </xf>
    <xf numFmtId="0" fontId="25" fillId="0" borderId="4" xfId="0" applyFont="1" applyBorder="1" applyAlignment="1">
      <alignment horizontal="left" vertical="center"/>
    </xf>
    <xf numFmtId="0" fontId="20" fillId="3" borderId="52" xfId="0" applyFont="1" applyFill="1" applyBorder="1" applyAlignment="1">
      <alignment horizontal="center" vertical="center" wrapText="1"/>
    </xf>
    <xf numFmtId="0" fontId="20" fillId="3" borderId="35" xfId="0" applyFont="1" applyFill="1" applyBorder="1" applyAlignment="1">
      <alignment horizontal="center" vertical="center" wrapText="1"/>
    </xf>
    <xf numFmtId="0" fontId="20" fillId="3" borderId="49" xfId="0" applyFont="1" applyFill="1" applyBorder="1" applyAlignment="1">
      <alignment horizontal="center" vertical="center" wrapText="1"/>
    </xf>
    <xf numFmtId="0" fontId="20" fillId="10" borderId="35" xfId="0" applyFont="1" applyFill="1" applyBorder="1" applyAlignment="1">
      <alignment horizontal="center" vertical="center" wrapText="1"/>
    </xf>
    <xf numFmtId="0" fontId="20" fillId="3" borderId="46" xfId="0" applyFont="1" applyFill="1" applyBorder="1" applyAlignment="1">
      <alignment horizontal="center" vertical="center" wrapText="1"/>
    </xf>
    <xf numFmtId="164" fontId="19" fillId="0" borderId="10" xfId="0" applyNumberFormat="1" applyFont="1" applyBorder="1" applyAlignment="1">
      <alignment vertical="center"/>
    </xf>
    <xf numFmtId="0" fontId="19" fillId="0" borderId="33" xfId="0" applyFont="1" applyBorder="1" applyAlignment="1">
      <alignment horizontal="center" vertical="center"/>
    </xf>
    <xf numFmtId="0" fontId="32" fillId="0" borderId="8" xfId="0" applyFont="1" applyBorder="1" applyAlignment="1">
      <alignment vertical="center"/>
    </xf>
    <xf numFmtId="0" fontId="19" fillId="11" borderId="8" xfId="0" applyFont="1" applyFill="1" applyBorder="1" applyAlignment="1">
      <alignment vertical="center"/>
    </xf>
    <xf numFmtId="164" fontId="19" fillId="11" borderId="10" xfId="0" applyNumberFormat="1" applyFont="1" applyFill="1" applyBorder="1" applyAlignment="1">
      <alignment vertical="center"/>
    </xf>
    <xf numFmtId="164" fontId="19" fillId="11" borderId="9" xfId="0" applyNumberFormat="1" applyFont="1" applyFill="1" applyBorder="1" applyAlignment="1">
      <alignment vertical="center"/>
    </xf>
    <xf numFmtId="164" fontId="19" fillId="11" borderId="10" xfId="1" applyNumberFormat="1" applyFont="1" applyFill="1" applyBorder="1" applyAlignment="1">
      <alignment vertical="center"/>
    </xf>
    <xf numFmtId="164" fontId="7" fillId="11" borderId="10" xfId="1" applyNumberFormat="1" applyFont="1" applyFill="1" applyBorder="1" applyAlignment="1">
      <alignment vertical="center"/>
    </xf>
    <xf numFmtId="0" fontId="13" fillId="0" borderId="10" xfId="4" applyFont="1" applyBorder="1"/>
    <xf numFmtId="0" fontId="11" fillId="9" borderId="10" xfId="4" applyFont="1" applyFill="1" applyBorder="1"/>
    <xf numFmtId="0" fontId="7" fillId="12" borderId="0" xfId="0" applyFont="1" applyFill="1" applyAlignment="1">
      <alignment vertical="center"/>
    </xf>
    <xf numFmtId="0" fontId="19" fillId="12" borderId="27" xfId="0" applyFont="1" applyFill="1" applyBorder="1" applyAlignment="1">
      <alignment vertical="center"/>
    </xf>
    <xf numFmtId="164" fontId="19" fillId="12" borderId="45" xfId="0" applyNumberFormat="1" applyFont="1" applyFill="1" applyBorder="1" applyAlignment="1">
      <alignment vertical="center"/>
    </xf>
    <xf numFmtId="0" fontId="11" fillId="4" borderId="10" xfId="4" applyFont="1" applyFill="1" applyBorder="1"/>
    <xf numFmtId="0" fontId="24" fillId="3" borderId="54" xfId="4" applyFont="1" applyFill="1" applyBorder="1" applyAlignment="1">
      <alignment horizontal="center" vertical="center" wrapText="1"/>
    </xf>
    <xf numFmtId="0" fontId="22" fillId="0" borderId="50" xfId="0" applyFont="1" applyBorder="1" applyAlignment="1">
      <alignment vertical="center"/>
    </xf>
    <xf numFmtId="0" fontId="33" fillId="0" borderId="8" xfId="0" applyFont="1" applyBorder="1" applyAlignment="1">
      <alignment vertical="center"/>
    </xf>
    <xf numFmtId="0" fontId="33" fillId="0" borderId="8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26" fillId="0" borderId="26" xfId="4" applyFont="1" applyBorder="1" applyAlignment="1">
      <alignment horizontal="left" vertical="center" wrapText="1"/>
    </xf>
    <xf numFmtId="0" fontId="26" fillId="0" borderId="8" xfId="4" applyFont="1" applyBorder="1" applyAlignment="1">
      <alignment horizontal="left" vertical="center" wrapText="1"/>
    </xf>
    <xf numFmtId="0" fontId="26" fillId="0" borderId="4" xfId="4" applyFont="1" applyBorder="1" applyAlignment="1">
      <alignment horizontal="left" vertical="center" wrapText="1"/>
    </xf>
    <xf numFmtId="164" fontId="25" fillId="0" borderId="17" xfId="1" applyNumberFormat="1" applyFont="1" applyFill="1" applyBorder="1" applyAlignment="1">
      <alignment horizontal="center" vertical="center"/>
    </xf>
    <xf numFmtId="164" fontId="25" fillId="0" borderId="44" xfId="1" applyNumberFormat="1" applyFont="1" applyFill="1" applyBorder="1" applyAlignment="1">
      <alignment horizontal="center" vertical="center"/>
    </xf>
    <xf numFmtId="164" fontId="25" fillId="0" borderId="9" xfId="1" applyNumberFormat="1" applyFont="1" applyFill="1" applyBorder="1" applyAlignment="1">
      <alignment horizontal="center" vertical="center"/>
    </xf>
    <xf numFmtId="164" fontId="25" fillId="0" borderId="33" xfId="1" applyNumberFormat="1" applyFont="1" applyFill="1" applyBorder="1" applyAlignment="1">
      <alignment horizontal="center" vertical="center"/>
    </xf>
    <xf numFmtId="164" fontId="25" fillId="0" borderId="29" xfId="1" applyNumberFormat="1" applyFont="1" applyFill="1" applyBorder="1" applyAlignment="1">
      <alignment horizontal="center" vertical="center"/>
    </xf>
    <xf numFmtId="0" fontId="34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33" fillId="12" borderId="0" xfId="0" applyFont="1" applyFill="1" applyAlignment="1">
      <alignment vertical="center"/>
    </xf>
    <xf numFmtId="164" fontId="33" fillId="0" borderId="0" xfId="0" applyNumberFormat="1" applyFont="1" applyAlignment="1">
      <alignment vertical="center"/>
    </xf>
    <xf numFmtId="0" fontId="8" fillId="5" borderId="10" xfId="4" applyFont="1" applyFill="1" applyBorder="1" applyAlignment="1">
      <alignment horizontal="center"/>
    </xf>
    <xf numFmtId="164" fontId="19" fillId="0" borderId="44" xfId="0" applyNumberFormat="1" applyFont="1" applyBorder="1" applyAlignment="1">
      <alignment horizontal="center" vertical="center"/>
    </xf>
    <xf numFmtId="166" fontId="19" fillId="0" borderId="44" xfId="2" applyNumberFormat="1" applyFont="1" applyFill="1" applyBorder="1" applyAlignment="1">
      <alignment horizontal="center" vertical="center"/>
    </xf>
    <xf numFmtId="9" fontId="19" fillId="0" borderId="9" xfId="3" applyFont="1" applyFill="1" applyBorder="1" applyAlignment="1">
      <alignment horizontal="center" vertical="center"/>
    </xf>
    <xf numFmtId="166" fontId="19" fillId="0" borderId="9" xfId="2" applyNumberFormat="1" applyFont="1" applyFill="1" applyBorder="1" applyAlignment="1">
      <alignment horizontal="center" vertical="center"/>
    </xf>
    <xf numFmtId="165" fontId="19" fillId="0" borderId="0" xfId="3" applyNumberFormat="1" applyFont="1" applyAlignment="1">
      <alignment vertical="center"/>
    </xf>
    <xf numFmtId="165" fontId="19" fillId="0" borderId="44" xfId="0" applyNumberFormat="1" applyFont="1" applyBorder="1" applyAlignment="1">
      <alignment vertical="center"/>
    </xf>
    <xf numFmtId="165" fontId="19" fillId="0" borderId="9" xfId="0" applyNumberFormat="1" applyFont="1" applyBorder="1" applyAlignment="1">
      <alignment vertical="center"/>
    </xf>
    <xf numFmtId="0" fontId="19" fillId="0" borderId="0" xfId="0" applyFont="1" applyAlignment="1">
      <alignment vertical="center"/>
    </xf>
    <xf numFmtId="44" fontId="33" fillId="0" borderId="0" xfId="2" applyFont="1" applyAlignment="1">
      <alignment vertical="center"/>
    </xf>
    <xf numFmtId="10" fontId="33" fillId="0" borderId="0" xfId="0" applyNumberFormat="1" applyFont="1" applyAlignment="1">
      <alignment vertical="center"/>
    </xf>
    <xf numFmtId="172" fontId="23" fillId="4" borderId="9" xfId="0" applyNumberFormat="1" applyFont="1" applyFill="1" applyBorder="1"/>
    <xf numFmtId="10" fontId="27" fillId="13" borderId="25" xfId="4" applyNumberFormat="1" applyFont="1" applyFill="1" applyBorder="1"/>
    <xf numFmtId="10" fontId="27" fillId="13" borderId="29" xfId="4" applyNumberFormat="1" applyFont="1" applyFill="1" applyBorder="1"/>
    <xf numFmtId="3" fontId="25" fillId="0" borderId="0" xfId="0" applyNumberFormat="1" applyFont="1"/>
    <xf numFmtId="0" fontId="33" fillId="4" borderId="0" xfId="0" applyFont="1" applyFill="1" applyAlignment="1">
      <alignment vertical="center"/>
    </xf>
    <xf numFmtId="174" fontId="8" fillId="12" borderId="0" xfId="3" applyNumberFormat="1" applyFont="1" applyFill="1" applyAlignment="1">
      <alignment vertical="center"/>
    </xf>
    <xf numFmtId="0" fontId="8" fillId="12" borderId="0" xfId="4" applyFont="1" applyFill="1" applyAlignment="1">
      <alignment vertical="center"/>
    </xf>
    <xf numFmtId="10" fontId="8" fillId="12" borderId="0" xfId="3" applyNumberFormat="1" applyFont="1" applyFill="1" applyAlignment="1">
      <alignment vertical="center"/>
    </xf>
    <xf numFmtId="0" fontId="13" fillId="9" borderId="10" xfId="4" applyFont="1" applyFill="1" applyBorder="1"/>
    <xf numFmtId="0" fontId="8" fillId="12" borderId="0" xfId="4" applyFont="1" applyFill="1"/>
    <xf numFmtId="164" fontId="39" fillId="12" borderId="10" xfId="1" applyNumberFormat="1" applyFont="1" applyFill="1" applyBorder="1"/>
    <xf numFmtId="164" fontId="0" fillId="0" borderId="0" xfId="1" applyNumberFormat="1" applyFont="1"/>
    <xf numFmtId="164" fontId="33" fillId="12" borderId="34" xfId="0" applyNumberFormat="1" applyFont="1" applyFill="1" applyBorder="1" applyAlignment="1">
      <alignment vertical="center"/>
    </xf>
    <xf numFmtId="164" fontId="32" fillId="12" borderId="25" xfId="0" applyNumberFormat="1" applyFont="1" applyFill="1" applyBorder="1" applyAlignment="1">
      <alignment vertical="center"/>
    </xf>
    <xf numFmtId="164" fontId="33" fillId="12" borderId="10" xfId="0" applyNumberFormat="1" applyFont="1" applyFill="1" applyBorder="1" applyAlignment="1">
      <alignment vertical="center"/>
    </xf>
    <xf numFmtId="164" fontId="32" fillId="12" borderId="9" xfId="0" applyNumberFormat="1" applyFont="1" applyFill="1" applyBorder="1" applyAlignment="1">
      <alignment vertical="center"/>
    </xf>
    <xf numFmtId="164" fontId="7" fillId="12" borderId="10" xfId="1" applyNumberFormat="1" applyFont="1" applyFill="1" applyBorder="1" applyAlignment="1">
      <alignment vertical="center"/>
    </xf>
    <xf numFmtId="164" fontId="7" fillId="12" borderId="10" xfId="0" applyNumberFormat="1" applyFont="1" applyFill="1" applyBorder="1" applyAlignment="1">
      <alignment vertical="center"/>
    </xf>
    <xf numFmtId="164" fontId="19" fillId="12" borderId="9" xfId="0" applyNumberFormat="1" applyFont="1" applyFill="1" applyBorder="1" applyAlignment="1">
      <alignment vertical="center"/>
    </xf>
    <xf numFmtId="164" fontId="7" fillId="14" borderId="10" xfId="0" applyNumberFormat="1" applyFont="1" applyFill="1" applyBorder="1" applyAlignment="1">
      <alignment vertical="center"/>
    </xf>
    <xf numFmtId="164" fontId="19" fillId="14" borderId="9" xfId="0" applyNumberFormat="1" applyFont="1" applyFill="1" applyBorder="1" applyAlignment="1">
      <alignment vertical="center"/>
    </xf>
    <xf numFmtId="165" fontId="7" fillId="12" borderId="10" xfId="3" applyNumberFormat="1" applyFont="1" applyFill="1" applyBorder="1" applyAlignment="1">
      <alignment horizontal="center" vertical="center"/>
    </xf>
    <xf numFmtId="9" fontId="19" fillId="12" borderId="9" xfId="3" applyFont="1" applyFill="1" applyBorder="1" applyAlignment="1">
      <alignment horizontal="center" vertical="center"/>
    </xf>
    <xf numFmtId="164" fontId="33" fillId="12" borderId="10" xfId="1" applyNumberFormat="1" applyFont="1" applyFill="1" applyBorder="1" applyAlignment="1">
      <alignment horizontal="center" vertical="center"/>
    </xf>
    <xf numFmtId="164" fontId="32" fillId="12" borderId="9" xfId="0" applyNumberFormat="1" applyFont="1" applyFill="1" applyBorder="1" applyAlignment="1">
      <alignment horizontal="center" vertical="center"/>
    </xf>
    <xf numFmtId="164" fontId="33" fillId="12" borderId="18" xfId="1" applyNumberFormat="1" applyFont="1" applyFill="1" applyBorder="1" applyAlignment="1">
      <alignment horizontal="center" vertical="center"/>
    </xf>
    <xf numFmtId="164" fontId="32" fillId="12" borderId="47" xfId="0" applyNumberFormat="1" applyFont="1" applyFill="1" applyBorder="1" applyAlignment="1">
      <alignment horizontal="center" vertical="center"/>
    </xf>
    <xf numFmtId="0" fontId="7" fillId="12" borderId="26" xfId="0" applyFont="1" applyFill="1" applyBorder="1" applyAlignment="1">
      <alignment vertical="center"/>
    </xf>
    <xf numFmtId="0" fontId="7" fillId="12" borderId="8" xfId="0" applyFont="1" applyFill="1" applyBorder="1" applyAlignment="1">
      <alignment vertical="center"/>
    </xf>
    <xf numFmtId="164" fontId="32" fillId="12" borderId="9" xfId="1" applyNumberFormat="1" applyFont="1" applyFill="1" applyBorder="1" applyAlignment="1">
      <alignment horizontal="center" vertical="center"/>
    </xf>
    <xf numFmtId="164" fontId="32" fillId="12" borderId="10" xfId="1" applyNumberFormat="1" applyFont="1" applyFill="1" applyBorder="1" applyAlignment="1">
      <alignment horizontal="center" vertical="center"/>
    </xf>
    <xf numFmtId="166" fontId="32" fillId="12" borderId="9" xfId="2" applyNumberFormat="1" applyFont="1" applyFill="1" applyBorder="1" applyAlignment="1">
      <alignment horizontal="center" vertical="center"/>
    </xf>
    <xf numFmtId="164" fontId="33" fillId="12" borderId="33" xfId="1" applyNumberFormat="1" applyFont="1" applyFill="1" applyBorder="1" applyAlignment="1">
      <alignment horizontal="center" vertical="center"/>
    </xf>
    <xf numFmtId="164" fontId="32" fillId="12" borderId="29" xfId="0" applyNumberFormat="1" applyFont="1" applyFill="1" applyBorder="1" applyAlignment="1">
      <alignment horizontal="center" vertical="center"/>
    </xf>
    <xf numFmtId="3" fontId="26" fillId="12" borderId="34" xfId="9" applyNumberFormat="1" applyFont="1" applyFill="1" applyBorder="1" applyAlignment="1">
      <alignment horizontal="center" vertical="center" wrapText="1"/>
    </xf>
    <xf numFmtId="0" fontId="26" fillId="12" borderId="34" xfId="9" applyFont="1" applyFill="1" applyBorder="1" applyAlignment="1">
      <alignment horizontal="center" vertical="center" wrapText="1"/>
    </xf>
    <xf numFmtId="3" fontId="26" fillId="12" borderId="25" xfId="4" applyNumberFormat="1" applyFont="1" applyFill="1" applyBorder="1" applyAlignment="1">
      <alignment horizontal="center" vertical="center" wrapText="1"/>
    </xf>
    <xf numFmtId="0" fontId="25" fillId="12" borderId="0" xfId="4" applyFont="1" applyFill="1"/>
    <xf numFmtId="0" fontId="26" fillId="12" borderId="10" xfId="9" applyFont="1" applyFill="1" applyBorder="1" applyAlignment="1">
      <alignment horizontal="center" vertical="center" wrapText="1"/>
    </xf>
    <xf numFmtId="0" fontId="26" fillId="12" borderId="9" xfId="4" applyFont="1" applyFill="1" applyBorder="1" applyAlignment="1">
      <alignment horizontal="center" vertical="center" wrapText="1"/>
    </xf>
    <xf numFmtId="0" fontId="26" fillId="12" borderId="33" xfId="9" applyFont="1" applyFill="1" applyBorder="1" applyAlignment="1">
      <alignment horizontal="center" vertical="center" wrapText="1"/>
    </xf>
    <xf numFmtId="0" fontId="26" fillId="12" borderId="29" xfId="4" applyFont="1" applyFill="1" applyBorder="1" applyAlignment="1">
      <alignment horizontal="center" vertical="center" wrapText="1"/>
    </xf>
    <xf numFmtId="164" fontId="40" fillId="4" borderId="29" xfId="6" applyNumberFormat="1" applyFont="1" applyFill="1" applyBorder="1" applyAlignment="1">
      <alignment horizontal="center" vertical="center" wrapText="1"/>
    </xf>
    <xf numFmtId="164" fontId="19" fillId="0" borderId="0" xfId="0" applyNumberFormat="1" applyFont="1" applyAlignment="1">
      <alignment horizontal="center" vertical="center"/>
    </xf>
    <xf numFmtId="0" fontId="20" fillId="3" borderId="26" xfId="0" applyFont="1" applyFill="1" applyBorder="1" applyAlignment="1">
      <alignment horizontal="center" vertical="center" wrapText="1"/>
    </xf>
    <xf numFmtId="0" fontId="20" fillId="3" borderId="34" xfId="0" applyFont="1" applyFill="1" applyBorder="1" applyAlignment="1">
      <alignment horizontal="center" vertical="center" wrapText="1"/>
    </xf>
    <xf numFmtId="0" fontId="20" fillId="3" borderId="25" xfId="0" applyFont="1" applyFill="1" applyBorder="1" applyAlignment="1">
      <alignment horizontal="center" vertical="center" wrapText="1"/>
    </xf>
    <xf numFmtId="0" fontId="20" fillId="3" borderId="8" xfId="0" applyFont="1" applyFill="1" applyBorder="1" applyAlignment="1">
      <alignment horizontal="center" vertical="center"/>
    </xf>
    <xf numFmtId="0" fontId="20" fillId="3" borderId="4" xfId="0" applyFont="1" applyFill="1" applyBorder="1" applyAlignment="1">
      <alignment horizontal="center" vertical="center"/>
    </xf>
    <xf numFmtId="0" fontId="20" fillId="3" borderId="10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0" fontId="20" fillId="3" borderId="27" xfId="0" applyFont="1" applyFill="1" applyBorder="1" applyAlignment="1">
      <alignment horizontal="center" vertical="center" wrapText="1"/>
    </xf>
    <xf numFmtId="0" fontId="20" fillId="3" borderId="45" xfId="0" applyFont="1" applyFill="1" applyBorder="1" applyAlignment="1">
      <alignment horizontal="center" vertical="center" wrapText="1"/>
    </xf>
    <xf numFmtId="0" fontId="20" fillId="3" borderId="53" xfId="0" applyFont="1" applyFill="1" applyBorder="1" applyAlignment="1">
      <alignment horizontal="center" vertical="center" wrapText="1"/>
    </xf>
    <xf numFmtId="0" fontId="20" fillId="3" borderId="14" xfId="0" applyFont="1" applyFill="1" applyBorder="1" applyAlignment="1">
      <alignment horizontal="center" vertical="center"/>
    </xf>
    <xf numFmtId="0" fontId="20" fillId="3" borderId="13" xfId="0" applyFont="1" applyFill="1" applyBorder="1" applyAlignment="1">
      <alignment horizontal="center" vertical="center"/>
    </xf>
    <xf numFmtId="0" fontId="20" fillId="3" borderId="12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20" fillId="3" borderId="7" xfId="0" applyFont="1" applyFill="1" applyBorder="1" applyAlignment="1">
      <alignment horizontal="center" vertical="center"/>
    </xf>
    <xf numFmtId="0" fontId="20" fillId="3" borderId="6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1" fillId="2" borderId="7" xfId="4" applyFont="1" applyFill="1" applyBorder="1" applyAlignment="1">
      <alignment horizontal="center"/>
    </xf>
    <xf numFmtId="0" fontId="11" fillId="2" borderId="6" xfId="4" applyFont="1" applyFill="1" applyBorder="1" applyAlignment="1">
      <alignment horizontal="center"/>
    </xf>
    <xf numFmtId="0" fontId="11" fillId="2" borderId="16" xfId="4" applyFont="1" applyFill="1" applyBorder="1" applyAlignment="1">
      <alignment horizontal="center"/>
    </xf>
    <xf numFmtId="0" fontId="11" fillId="2" borderId="10" xfId="4" applyFont="1" applyFill="1" applyBorder="1" applyAlignment="1">
      <alignment horizontal="center"/>
    </xf>
    <xf numFmtId="0" fontId="6" fillId="3" borderId="7" xfId="4" applyFont="1" applyFill="1" applyBorder="1" applyAlignment="1">
      <alignment horizontal="center"/>
    </xf>
    <xf numFmtId="0" fontId="6" fillId="3" borderId="6" xfId="4" applyFont="1" applyFill="1" applyBorder="1" applyAlignment="1">
      <alignment horizontal="center"/>
    </xf>
    <xf numFmtId="0" fontId="6" fillId="3" borderId="16" xfId="4" applyFont="1" applyFill="1" applyBorder="1" applyAlignment="1">
      <alignment horizontal="center"/>
    </xf>
    <xf numFmtId="0" fontId="6" fillId="3" borderId="10" xfId="4" applyFont="1" applyFill="1" applyBorder="1" applyAlignment="1">
      <alignment horizontal="center"/>
    </xf>
    <xf numFmtId="0" fontId="11" fillId="2" borderId="39" xfId="4" applyFont="1" applyFill="1" applyBorder="1" applyAlignment="1">
      <alignment horizontal="center"/>
    </xf>
    <xf numFmtId="0" fontId="11" fillId="2" borderId="15" xfId="4" applyFont="1" applyFill="1" applyBorder="1" applyAlignment="1">
      <alignment horizontal="center"/>
    </xf>
    <xf numFmtId="0" fontId="6" fillId="3" borderId="10" xfId="4" applyFont="1" applyFill="1" applyBorder="1" applyAlignment="1">
      <alignment horizontal="center" vertical="center"/>
    </xf>
    <xf numFmtId="0" fontId="6" fillId="3" borderId="35" xfId="4" applyFont="1" applyFill="1" applyBorder="1" applyAlignment="1">
      <alignment horizontal="center" vertical="center"/>
    </xf>
    <xf numFmtId="0" fontId="6" fillId="3" borderId="17" xfId="4" applyFont="1" applyFill="1" applyBorder="1" applyAlignment="1">
      <alignment horizontal="center" vertical="center"/>
    </xf>
    <xf numFmtId="0" fontId="6" fillId="3" borderId="37" xfId="4" applyFont="1" applyFill="1" applyBorder="1" applyAlignment="1">
      <alignment horizontal="center" vertical="center"/>
    </xf>
    <xf numFmtId="0" fontId="6" fillId="3" borderId="38" xfId="4" applyFont="1" applyFill="1" applyBorder="1" applyAlignment="1">
      <alignment horizontal="center" vertical="center"/>
    </xf>
    <xf numFmtId="0" fontId="6" fillId="3" borderId="39" xfId="4" applyFont="1" applyFill="1" applyBorder="1" applyAlignment="1">
      <alignment horizontal="center" vertical="center"/>
    </xf>
    <xf numFmtId="0" fontId="6" fillId="3" borderId="40" xfId="4" applyFont="1" applyFill="1" applyBorder="1" applyAlignment="1">
      <alignment horizontal="center" vertical="center"/>
    </xf>
    <xf numFmtId="0" fontId="7" fillId="0" borderId="41" xfId="8" applyFont="1" applyBorder="1" applyAlignment="1">
      <alignment horizontal="left" vertical="center" wrapText="1"/>
    </xf>
    <xf numFmtId="0" fontId="7" fillId="0" borderId="42" xfId="8" applyFont="1" applyBorder="1" applyAlignment="1">
      <alignment horizontal="left" vertical="center" wrapText="1"/>
    </xf>
    <xf numFmtId="0" fontId="7" fillId="0" borderId="0" xfId="8" applyFont="1" applyAlignment="1">
      <alignment horizontal="left" vertical="center" wrapText="1"/>
    </xf>
    <xf numFmtId="0" fontId="9" fillId="2" borderId="7" xfId="4" applyFont="1" applyFill="1" applyBorder="1" applyAlignment="1">
      <alignment horizontal="center"/>
    </xf>
    <xf numFmtId="0" fontId="9" fillId="2" borderId="6" xfId="4" applyFont="1" applyFill="1" applyBorder="1" applyAlignment="1">
      <alignment horizontal="center"/>
    </xf>
    <xf numFmtId="0" fontId="9" fillId="2" borderId="16" xfId="4" applyFont="1" applyFill="1" applyBorder="1" applyAlignment="1">
      <alignment horizontal="center"/>
    </xf>
    <xf numFmtId="0" fontId="8" fillId="0" borderId="10" xfId="4" applyFont="1" applyBorder="1" applyAlignment="1">
      <alignment horizontal="center" vertical="center" wrapText="1"/>
    </xf>
    <xf numFmtId="0" fontId="8" fillId="0" borderId="41" xfId="4" applyFont="1" applyBorder="1" applyAlignment="1">
      <alignment horizontal="center" vertical="center"/>
    </xf>
    <xf numFmtId="0" fontId="8" fillId="6" borderId="10" xfId="4" applyFont="1" applyFill="1" applyBorder="1" applyAlignment="1">
      <alignment horizontal="center" vertical="center"/>
    </xf>
    <xf numFmtId="0" fontId="8" fillId="0" borderId="10" xfId="4" applyFont="1" applyBorder="1" applyAlignment="1">
      <alignment horizontal="center" vertical="center"/>
    </xf>
    <xf numFmtId="0" fontId="8" fillId="6" borderId="18" xfId="4" applyFont="1" applyFill="1" applyBorder="1" applyAlignment="1">
      <alignment horizontal="center" vertical="center" wrapText="1"/>
    </xf>
    <xf numFmtId="0" fontId="8" fillId="6" borderId="10" xfId="4" applyFont="1" applyFill="1" applyBorder="1" applyAlignment="1">
      <alignment horizontal="center" vertical="center" wrapText="1"/>
    </xf>
    <xf numFmtId="0" fontId="9" fillId="2" borderId="10" xfId="4" applyFont="1" applyFill="1" applyBorder="1" applyAlignment="1">
      <alignment horizontal="center"/>
    </xf>
    <xf numFmtId="0" fontId="6" fillId="3" borderId="7" xfId="4" applyFont="1" applyFill="1" applyBorder="1" applyAlignment="1">
      <alignment horizontal="center" vertical="center"/>
    </xf>
    <xf numFmtId="0" fontId="6" fillId="3" borderId="16" xfId="4" applyFont="1" applyFill="1" applyBorder="1" applyAlignment="1">
      <alignment horizontal="center" vertical="center"/>
    </xf>
    <xf numFmtId="0" fontId="8" fillId="0" borderId="10" xfId="4" applyFont="1" applyBorder="1" applyAlignment="1">
      <alignment horizontal="center" wrapText="1"/>
    </xf>
    <xf numFmtId="0" fontId="7" fillId="0" borderId="7" xfId="8" applyFont="1" applyBorder="1" applyAlignment="1">
      <alignment horizontal="left" vertical="center" wrapText="1"/>
    </xf>
    <xf numFmtId="0" fontId="7" fillId="0" borderId="6" xfId="8" applyFont="1" applyBorder="1" applyAlignment="1">
      <alignment horizontal="left" vertical="center" wrapText="1"/>
    </xf>
    <xf numFmtId="0" fontId="7" fillId="0" borderId="16" xfId="8" applyFont="1" applyBorder="1" applyAlignment="1">
      <alignment horizontal="left" vertical="center" wrapText="1"/>
    </xf>
    <xf numFmtId="0" fontId="8" fillId="4" borderId="10" xfId="4" applyFont="1" applyFill="1" applyBorder="1" applyAlignment="1">
      <alignment horizontal="center" vertical="center" wrapText="1"/>
    </xf>
    <xf numFmtId="0" fontId="8" fillId="4" borderId="18" xfId="4" applyFont="1" applyFill="1" applyBorder="1" applyAlignment="1">
      <alignment horizontal="center" vertical="center" wrapText="1"/>
    </xf>
    <xf numFmtId="0" fontId="8" fillId="4" borderId="35" xfId="4" applyFont="1" applyFill="1" applyBorder="1" applyAlignment="1">
      <alignment horizontal="center" vertical="center" wrapText="1"/>
    </xf>
    <xf numFmtId="0" fontId="8" fillId="4" borderId="17" xfId="4" applyFont="1" applyFill="1" applyBorder="1" applyAlignment="1">
      <alignment horizontal="center" vertical="center" wrapText="1"/>
    </xf>
    <xf numFmtId="0" fontId="8" fillId="4" borderId="10" xfId="4" applyFont="1" applyFill="1" applyBorder="1" applyAlignment="1">
      <alignment horizontal="center" vertical="center"/>
    </xf>
    <xf numFmtId="0" fontId="8" fillId="0" borderId="18" xfId="4" applyFont="1" applyBorder="1" applyAlignment="1">
      <alignment horizontal="center" vertical="center" wrapText="1"/>
    </xf>
    <xf numFmtId="0" fontId="8" fillId="0" borderId="35" xfId="4" applyFont="1" applyBorder="1" applyAlignment="1">
      <alignment horizontal="center" vertical="center" wrapText="1"/>
    </xf>
    <xf numFmtId="0" fontId="8" fillId="0" borderId="17" xfId="4" applyFont="1" applyBorder="1" applyAlignment="1">
      <alignment horizontal="center" vertical="center" wrapText="1"/>
    </xf>
    <xf numFmtId="0" fontId="24" fillId="3" borderId="26" xfId="0" applyFont="1" applyFill="1" applyBorder="1" applyAlignment="1">
      <alignment horizontal="center" vertical="center" wrapText="1"/>
    </xf>
    <xf numFmtId="0" fontId="24" fillId="3" borderId="34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25" fillId="0" borderId="8" xfId="4" applyFont="1" applyBorder="1" applyAlignment="1">
      <alignment horizontal="left"/>
    </xf>
    <xf numFmtId="0" fontId="25" fillId="0" borderId="7" xfId="4" applyFont="1" applyBorder="1" applyAlignment="1">
      <alignment horizontal="left"/>
    </xf>
    <xf numFmtId="0" fontId="24" fillId="3" borderId="14" xfId="4" applyFont="1" applyFill="1" applyBorder="1" applyAlignment="1">
      <alignment horizontal="center" vertical="center" wrapText="1"/>
    </xf>
    <xf numFmtId="0" fontId="24" fillId="3" borderId="12" xfId="4" applyFont="1" applyFill="1" applyBorder="1" applyAlignment="1">
      <alignment horizontal="center" vertical="center" wrapText="1"/>
    </xf>
    <xf numFmtId="0" fontId="25" fillId="0" borderId="4" xfId="4" applyFont="1" applyBorder="1" applyAlignment="1">
      <alignment horizontal="left"/>
    </xf>
    <xf numFmtId="0" fontId="25" fillId="0" borderId="3" xfId="4" applyFont="1" applyBorder="1" applyAlignment="1">
      <alignment horizontal="left"/>
    </xf>
    <xf numFmtId="0" fontId="24" fillId="3" borderId="0" xfId="4" applyFont="1" applyFill="1" applyAlignment="1">
      <alignment horizontal="center"/>
    </xf>
    <xf numFmtId="0" fontId="24" fillId="3" borderId="26" xfId="4" applyFont="1" applyFill="1" applyBorder="1" applyAlignment="1">
      <alignment horizontal="center" vertical="center" wrapText="1"/>
    </xf>
    <xf numFmtId="0" fontId="24" fillId="3" borderId="34" xfId="4" applyFont="1" applyFill="1" applyBorder="1" applyAlignment="1">
      <alignment horizontal="center" vertical="center" wrapText="1"/>
    </xf>
    <xf numFmtId="0" fontId="24" fillId="3" borderId="28" xfId="4" applyFont="1" applyFill="1" applyBorder="1" applyAlignment="1">
      <alignment horizontal="center"/>
    </xf>
    <xf numFmtId="0" fontId="24" fillId="3" borderId="24" xfId="4" applyFont="1" applyFill="1" applyBorder="1" applyAlignment="1">
      <alignment horizontal="center"/>
    </xf>
    <xf numFmtId="0" fontId="25" fillId="0" borderId="32" xfId="4" applyFont="1" applyBorder="1" applyAlignment="1">
      <alignment horizontal="center"/>
    </xf>
    <xf numFmtId="0" fontId="25" fillId="0" borderId="31" xfId="4" applyFont="1" applyBorder="1" applyAlignment="1">
      <alignment horizontal="center"/>
    </xf>
    <xf numFmtId="0" fontId="25" fillId="0" borderId="23" xfId="4" applyFont="1" applyBorder="1" applyAlignment="1">
      <alignment horizontal="center"/>
    </xf>
    <xf numFmtId="0" fontId="25" fillId="0" borderId="0" xfId="4" applyFont="1" applyAlignment="1">
      <alignment horizontal="center"/>
    </xf>
    <xf numFmtId="0" fontId="24" fillId="3" borderId="17" xfId="4" applyFont="1" applyFill="1" applyBorder="1" applyAlignment="1">
      <alignment horizontal="center" vertical="center" wrapText="1"/>
    </xf>
    <xf numFmtId="0" fontId="24" fillId="3" borderId="46" xfId="4" applyFont="1" applyFill="1" applyBorder="1" applyAlignment="1">
      <alignment horizontal="center" vertical="center" wrapText="1"/>
    </xf>
    <xf numFmtId="0" fontId="24" fillId="3" borderId="10" xfId="4" applyFont="1" applyFill="1" applyBorder="1" applyAlignment="1">
      <alignment horizontal="center" vertical="center" wrapText="1"/>
    </xf>
    <xf numFmtId="0" fontId="24" fillId="3" borderId="25" xfId="4" applyFont="1" applyFill="1" applyBorder="1" applyAlignment="1">
      <alignment horizontal="center" vertical="center" wrapText="1"/>
    </xf>
    <xf numFmtId="0" fontId="24" fillId="3" borderId="13" xfId="4" applyFont="1" applyFill="1" applyBorder="1" applyAlignment="1">
      <alignment horizontal="center" vertical="center" wrapText="1"/>
    </xf>
    <xf numFmtId="0" fontId="24" fillId="3" borderId="10" xfId="0" applyFont="1" applyFill="1" applyBorder="1" applyAlignment="1">
      <alignment horizontal="center" vertical="center" wrapText="1"/>
    </xf>
  </cellXfs>
  <cellStyles count="14">
    <cellStyle name="Millares" xfId="1" builtinId="3"/>
    <cellStyle name="Millares 2" xfId="6" xr:uid="{00000000-0005-0000-0000-000001000000}"/>
    <cellStyle name="Millares 3" xfId="10" xr:uid="{00000000-0005-0000-0000-000002000000}"/>
    <cellStyle name="Moneda" xfId="2" builtinId="4"/>
    <cellStyle name="Normal" xfId="0" builtinId="0"/>
    <cellStyle name="Normal 2" xfId="4" xr:uid="{00000000-0005-0000-0000-000005000000}"/>
    <cellStyle name="Normal 2 2" xfId="8" xr:uid="{00000000-0005-0000-0000-000006000000}"/>
    <cellStyle name="Normal 2 2 2" xfId="7" xr:uid="{00000000-0005-0000-0000-000007000000}"/>
    <cellStyle name="Normal 3" xfId="12" xr:uid="{00000000-0005-0000-0000-000008000000}"/>
    <cellStyle name="Normal 4" xfId="9" xr:uid="{00000000-0005-0000-0000-000009000000}"/>
    <cellStyle name="Normal 5" xfId="13" xr:uid="{00000000-0005-0000-0000-00000A000000}"/>
    <cellStyle name="Porcentaje" xfId="3" builtinId="5"/>
    <cellStyle name="Porcentaje 2" xfId="5" xr:uid="{00000000-0005-0000-0000-00000C000000}"/>
    <cellStyle name="Porcentaje 3" xfId="11" xr:uid="{00000000-0005-0000-0000-00000D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1899709</xdr:colOff>
      <xdr:row>94</xdr:row>
      <xdr:rowOff>64558</xdr:rowOff>
    </xdr:from>
    <xdr:to>
      <xdr:col>1</xdr:col>
      <xdr:colOff>2064809</xdr:colOff>
      <xdr:row>95</xdr:row>
      <xdr:rowOff>21166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089ECAD-7C1A-4031-8F0C-CC258AA04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9334" y="20257558"/>
          <a:ext cx="165100" cy="137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787399</xdr:colOff>
      <xdr:row>3</xdr:row>
      <xdr:rowOff>12700</xdr:rowOff>
    </xdr:from>
    <xdr:to>
      <xdr:col>2</xdr:col>
      <xdr:colOff>1327726</xdr:colOff>
      <xdr:row>7</xdr:row>
      <xdr:rowOff>12700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5F84D0FC-D72A-4688-BB89-E0BB71233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399" y="571500"/>
          <a:ext cx="4655127" cy="711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276225</xdr:colOff>
      <xdr:row>1</xdr:row>
      <xdr:rowOff>47626</xdr:rowOff>
    </xdr:from>
    <xdr:to>
      <xdr:col>11</xdr:col>
      <xdr:colOff>1079500</xdr:colOff>
      <xdr:row>10</xdr:row>
      <xdr:rowOff>19050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1" name="CuadroTexto 10">
              <a:extLst>
                <a:ext uri="{FF2B5EF4-FFF2-40B4-BE49-F238E27FC236}">
                  <a16:creationId xmlns:a16="http://schemas.microsoft.com/office/drawing/2014/main" id="{6AD6A39D-F277-420E-ACA0-5BFBA4992FF9}"/>
                </a:ext>
              </a:extLst>
            </xdr:cNvPr>
            <xdr:cNvSpPr txBox="1"/>
          </xdr:nvSpPr>
          <xdr:spPr>
            <a:xfrm>
              <a:off x="4829175" y="247651"/>
              <a:ext cx="10861675" cy="1600199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14:m>
                <m:oMath xmlns:m="http://schemas.openxmlformats.org/officeDocument/2006/math">
                  <m:sSub>
                    <m:sSubPr>
                      <m:ctrlPr>
                        <a:rPr lang="es-CO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es-CO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𝐹</m:t>
                      </m:r>
                    </m:e>
                    <m:sub>
                      <m: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𝑡</m:t>
                      </m:r>
                    </m:sub>
                  </m:sSub>
                </m:oMath>
              </a14:m>
              <a:r>
                <a:rPr lang="es-E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: Presupuesto de funcionamiento de la Superintendencia de Transporte en el periodo t.</a:t>
              </a:r>
            </a:p>
            <a:p>
              <a14:m>
                <m:oMath xmlns:m="http://schemas.openxmlformats.org/officeDocument/2006/math">
                  <m:sSub>
                    <m:sSubPr>
                      <m:ctrlPr>
                        <a:rPr lang="es-ES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es-ES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𝐼</m:t>
                      </m:r>
                    </m:e>
                    <m:sub>
                      <m: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𝑡</m:t>
                      </m:r>
                    </m:sub>
                  </m:sSub>
                </m:oMath>
              </a14:m>
              <a:r>
                <a:rPr lang="es-E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: Presupuesto de inversión de la Superintendencia de Transporte en el periodo t.</a:t>
              </a:r>
            </a:p>
            <a:p>
              <a14:m>
                <m:oMath xmlns:m="http://schemas.openxmlformats.org/officeDocument/2006/math">
                  <m:sSub>
                    <m:sSubPr>
                      <m:ctrlP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𝑀</m:t>
                      </m:r>
                    </m:e>
                    <m:sub>
                      <m: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𝑡</m:t>
                      </m:r>
                      <m:r>
                        <a:rPr lang="es-ES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−1</m:t>
                      </m:r>
                    </m:sub>
                  </m:sSub>
                </m:oMath>
              </a14:m>
              <a:r>
                <a:rPr lang="es-E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: Multas y sanciones de la Superintendencia de Transporte en el periodo t-1.</a:t>
              </a:r>
            </a:p>
            <a:p>
              <a14:m>
                <m:oMath xmlns:m="http://schemas.openxmlformats.org/officeDocument/2006/math">
                  <m:sSub>
                    <m:sSubPr>
                      <m:ctrlPr>
                        <a:rPr lang="es-ES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es-ES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𝐵𝐼</m:t>
                      </m:r>
                    </m:e>
                    <m:sub>
                      <m: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𝑡</m:t>
                      </m:r>
                      <m:r>
                        <a:rPr lang="es-ES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−1</m:t>
                      </m:r>
                    </m:sub>
                  </m:sSub>
                </m:oMath>
              </a14:m>
              <a:r>
                <a:rPr lang="es-E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: Ingresos brutos derivados de actividades de transporte en el año t-1 de los vigilados por la Superintendencia de Transporte a quienes de le ejerce vigilancia integral.</a:t>
              </a:r>
            </a:p>
            <a:p>
              <a14:m>
                <m:oMath xmlns:m="http://schemas.openxmlformats.org/officeDocument/2006/math">
                  <m:sSub>
                    <m:sSubPr>
                      <m:ctrlP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𝐵𝑆</m:t>
                      </m:r>
                    </m:e>
                    <m:sub>
                      <m: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𝑡</m:t>
                      </m:r>
                      <m:r>
                        <a:rPr lang="es-ES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−1</m:t>
                      </m:r>
                    </m:sub>
                  </m:sSub>
                </m:oMath>
              </a14:m>
              <a:r>
                <a:rPr lang="es-E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: Ingresos brutos derivados de actividades de transporte en el año t-1 de los vigilados por la Superintendencia de Transporte a quienes de le ejerce vigilancia subjetiva.</a:t>
              </a:r>
            </a:p>
            <a:p>
              <a14:m>
                <m:oMath xmlns:m="http://schemas.openxmlformats.org/officeDocument/2006/math">
                  <m:sSub>
                    <m:sSubPr>
                      <m:ctrlP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𝐵𝑂</m:t>
                      </m:r>
                    </m:e>
                    <m:sub>
                      <m: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𝑡</m:t>
                      </m:r>
                      <m:r>
                        <a:rPr lang="es-ES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−1</m:t>
                      </m:r>
                    </m:sub>
                  </m:sSub>
                </m:oMath>
              </a14:m>
              <a:r>
                <a:rPr lang="es-E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: Ingresos brutos derivados de actividades de transporte en el año t-1 de los vigilados por la  Superintendencia de Transporte a quienes de le ejerce vigilancia objetiva.</a:t>
              </a:r>
            </a:p>
            <a:p>
              <a14:m>
                <m:oMath xmlns:m="http://schemas.openxmlformats.org/officeDocument/2006/math">
                  <m:r>
                    <a:rPr lang="es-ES" sz="110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∝</m:t>
                  </m:r>
                </m:oMath>
              </a14:m>
              <a:r>
                <a:rPr lang="es-E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: Ponderador de la vigilancia Subjetiva frente a la vigilancia integral</a:t>
              </a:r>
              <a:endParaRPr lang="es-CO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14:m>
                <m:oMath xmlns:m="http://schemas.openxmlformats.org/officeDocument/2006/math">
                  <m:r>
                    <a:rPr lang="es-CO" sz="110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𝛾</m:t>
                  </m:r>
                </m:oMath>
              </a14:m>
              <a:r>
                <a:rPr lang="es-CO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: </a:t>
              </a:r>
              <a:r>
                <a:rPr lang="es-E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Ponderador de la vigilancia Objetiva frente a la vigilancia integral</a:t>
              </a:r>
              <a:endParaRPr lang="es-CO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s-ES" sz="1100"/>
            </a:p>
          </xdr:txBody>
        </xdr:sp>
      </mc:Choice>
      <mc:Fallback xmlns="">
        <xdr:sp macro="" textlink="">
          <xdr:nvSpPr>
            <xdr:cNvPr id="11" name="CuadroTexto 10">
              <a:extLst>
                <a:ext uri="{FF2B5EF4-FFF2-40B4-BE49-F238E27FC236}">
                  <a16:creationId xmlns:a16="http://schemas.microsoft.com/office/drawing/2014/main" id="{6AD6A39D-F277-420E-ACA0-5BFBA4992FF9}"/>
                </a:ext>
              </a:extLst>
            </xdr:cNvPr>
            <xdr:cNvSpPr txBox="1"/>
          </xdr:nvSpPr>
          <xdr:spPr>
            <a:xfrm>
              <a:off x="4829175" y="247651"/>
              <a:ext cx="10861675" cy="1600199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s-CO" sz="11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𝐹</a:t>
              </a:r>
              <a:r>
                <a:rPr lang="es-ES" sz="11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_</a:t>
              </a:r>
              <a:r>
                <a:rPr lang="en-US" sz="11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𝑡</a:t>
              </a:r>
              <a:r>
                <a:rPr lang="es-E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: Presupuesto de funcionamiento de la Superintendencia de Transporte en el periodo t.</a:t>
              </a:r>
            </a:p>
            <a:p>
              <a:r>
                <a:rPr lang="es-ES" sz="11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𝐼_</a:t>
              </a:r>
              <a:r>
                <a:rPr lang="en-US" sz="11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𝑡</a:t>
              </a:r>
              <a:r>
                <a:rPr lang="es-E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: Presupuesto de inversión de la Superintendencia de Transporte en el periodo t.</a:t>
              </a:r>
            </a:p>
            <a:p>
              <a:r>
                <a:rPr lang="en-US" sz="11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𝑀</a:t>
              </a:r>
              <a:r>
                <a:rPr lang="es-ES" sz="11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_(</a:t>
              </a:r>
              <a:r>
                <a:rPr lang="en-US" sz="11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𝑡</a:t>
              </a:r>
              <a:r>
                <a:rPr lang="es-ES" sz="11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−1)</a:t>
              </a:r>
              <a:r>
                <a:rPr lang="es-E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: Multas y sanciones de la Superintendencia de Transporte en el periodo t-1.</a:t>
              </a:r>
            </a:p>
            <a:p>
              <a:r>
                <a:rPr lang="es-ES" sz="11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〖𝐵𝐼〗_(</a:t>
              </a:r>
              <a:r>
                <a:rPr lang="en-US" sz="11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𝑡</a:t>
              </a:r>
              <a:r>
                <a:rPr lang="es-ES" sz="11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−1)</a:t>
              </a:r>
              <a:r>
                <a:rPr lang="es-E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: Ingresos brutos derivados de actividades de transporte en el año t-1 de los vigilados por la Superintendencia de Transporte a quienes de le ejerce vigilancia integral.</a:t>
              </a:r>
            </a:p>
            <a:p>
              <a:r>
                <a:rPr lang="es-ES" sz="11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</a:t>
              </a:r>
              <a:r>
                <a:rPr lang="en-US" sz="11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𝐵𝑆</a:t>
              </a:r>
              <a:r>
                <a:rPr lang="es-ES" sz="11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〗_(</a:t>
              </a:r>
              <a:r>
                <a:rPr lang="en-US" sz="11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𝑡</a:t>
              </a:r>
              <a:r>
                <a:rPr lang="es-ES" sz="11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−1)</a:t>
              </a:r>
              <a:r>
                <a:rPr lang="es-E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: Ingresos brutos derivados de actividades de transporte en el año t-1 de los vigilados por la Superintendencia de Transporte a quienes de le ejerce vigilancia subjetiva.</a:t>
              </a:r>
            </a:p>
            <a:p>
              <a:r>
                <a:rPr lang="es-ES" sz="11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</a:t>
              </a:r>
              <a:r>
                <a:rPr lang="en-US" sz="11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𝐵𝑂</a:t>
              </a:r>
              <a:r>
                <a:rPr lang="es-ES" sz="11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〗_(</a:t>
              </a:r>
              <a:r>
                <a:rPr lang="en-US" sz="11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𝑡</a:t>
              </a:r>
              <a:r>
                <a:rPr lang="es-ES" sz="11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−1)</a:t>
              </a:r>
              <a:r>
                <a:rPr lang="es-E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: Ingresos brutos derivados de actividades de transporte en el año t-1 de los vigilados por la  Superintendencia de Transporte a quienes de le ejerce vigilancia objetiva.</a:t>
              </a:r>
            </a:p>
            <a:p>
              <a:r>
                <a:rPr lang="es-ES" sz="11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∝</a:t>
              </a:r>
              <a:r>
                <a:rPr lang="es-E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: Ponderador de la vigilancia Subjetiva frente a la vigilancia integral</a:t>
              </a:r>
              <a:endParaRPr lang="es-CO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r>
                <a:rPr lang="es-CO" sz="11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𝛾</a:t>
              </a:r>
              <a:r>
                <a:rPr lang="es-CO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: </a:t>
              </a:r>
              <a:r>
                <a:rPr lang="es-E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Ponderador de la vigilancia Objetiva frente a la vigilancia integral</a:t>
              </a:r>
              <a:endParaRPr lang="es-CO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s-ES" sz="1100"/>
            </a:p>
          </xdr:txBody>
        </xdr:sp>
      </mc:Fallback>
    </mc:AlternateContent>
    <xdr:clientData/>
  </xdr:twoCellAnchor>
  <xdr:twoCellAnchor>
    <xdr:from>
      <xdr:col>1</xdr:col>
      <xdr:colOff>19050</xdr:colOff>
      <xdr:row>8</xdr:row>
      <xdr:rowOff>142875</xdr:rowOff>
    </xdr:from>
    <xdr:to>
      <xdr:col>1</xdr:col>
      <xdr:colOff>533400</xdr:colOff>
      <xdr:row>10</xdr:row>
      <xdr:rowOff>19050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9AFC9239-99FD-4CD3-B956-7FA9BDAC6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609725"/>
          <a:ext cx="514350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11</xdr:row>
      <xdr:rowOff>133350</xdr:rowOff>
    </xdr:from>
    <xdr:to>
      <xdr:col>1</xdr:col>
      <xdr:colOff>619125</xdr:colOff>
      <xdr:row>13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60A11401-CBA1-4C84-A3DE-47CBF982A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2143125"/>
          <a:ext cx="6191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10</xdr:row>
      <xdr:rowOff>66675</xdr:rowOff>
    </xdr:from>
    <xdr:to>
      <xdr:col>1</xdr:col>
      <xdr:colOff>628650</xdr:colOff>
      <xdr:row>11</xdr:row>
      <xdr:rowOff>123825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189CE73A-4EE0-45BA-9CD5-012275729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1895475"/>
          <a:ext cx="628650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76200</xdr:colOff>
      <xdr:row>97</xdr:row>
      <xdr:rowOff>152400</xdr:rowOff>
    </xdr:from>
    <xdr:to>
      <xdr:col>2</xdr:col>
      <xdr:colOff>590550</xdr:colOff>
      <xdr:row>99</xdr:row>
      <xdr:rowOff>0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CF542F0A-9A45-43F0-9CE0-A06D42A27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2775" y="20326350"/>
          <a:ext cx="514350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47625</xdr:colOff>
      <xdr:row>98</xdr:row>
      <xdr:rowOff>123825</xdr:rowOff>
    </xdr:from>
    <xdr:to>
      <xdr:col>2</xdr:col>
      <xdr:colOff>666750</xdr:colOff>
      <xdr:row>100</xdr:row>
      <xdr:rowOff>0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FCE47B03-1C5F-48D1-AC7C-83CC9E223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0" y="20488275"/>
          <a:ext cx="6191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28575</xdr:colOff>
      <xdr:row>99</xdr:row>
      <xdr:rowOff>152400</xdr:rowOff>
    </xdr:from>
    <xdr:to>
      <xdr:col>2</xdr:col>
      <xdr:colOff>657225</xdr:colOff>
      <xdr:row>100</xdr:row>
      <xdr:rowOff>171450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4534A5E4-1EBF-44E0-86C6-D24C2998C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20697825"/>
          <a:ext cx="62865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148"/>
  <sheetViews>
    <sheetView tabSelected="1" zoomScaleNormal="100" workbookViewId="0">
      <pane ySplit="5" topLeftCell="A6" activePane="bottomLeft" state="frozen"/>
      <selection pane="bottomLeft" activeCell="G5" sqref="G5"/>
    </sheetView>
  </sheetViews>
  <sheetFormatPr baseColWidth="10" defaultColWidth="11.125" defaultRowHeight="12" x14ac:dyDescent="0.25"/>
  <cols>
    <col min="1" max="1" width="1.5" style="94" customWidth="1"/>
    <col min="2" max="2" width="25.625" style="94" customWidth="1"/>
    <col min="3" max="3" width="14.625" style="94" customWidth="1"/>
    <col min="4" max="4" width="14.625" style="94" bestFit="1" customWidth="1"/>
    <col min="5" max="5" width="14.125" style="94" customWidth="1"/>
    <col min="6" max="6" width="15.125" style="94" customWidth="1"/>
    <col min="7" max="7" width="18.5" style="94" customWidth="1"/>
    <col min="8" max="8" width="15.5" style="286" customWidth="1"/>
    <col min="9" max="9" width="33.125" style="275" customWidth="1"/>
    <col min="10" max="10" width="21.125" style="275" customWidth="1"/>
    <col min="11" max="11" width="15.5" style="275" customWidth="1"/>
    <col min="12" max="12" width="13.625" style="275" customWidth="1"/>
    <col min="13" max="13" width="9" style="275" bestFit="1" customWidth="1"/>
    <col min="14" max="14" width="15.125" style="94" customWidth="1"/>
    <col min="15" max="15" width="12" style="94" customWidth="1"/>
    <col min="16" max="16" width="13.125" style="94" bestFit="1" customWidth="1"/>
    <col min="17" max="16384" width="11.125" style="94"/>
  </cols>
  <sheetData>
    <row r="2" spans="2:8" ht="12.75" thickBot="1" x14ac:dyDescent="0.3">
      <c r="B2" s="340"/>
      <c r="C2" s="340"/>
      <c r="D2" s="340"/>
      <c r="E2" s="340"/>
      <c r="F2" s="340"/>
      <c r="G2" s="340"/>
      <c r="H2" s="340"/>
    </row>
    <row r="3" spans="2:8" ht="15.75" customHeight="1" x14ac:dyDescent="0.25">
      <c r="B3" s="333" t="s">
        <v>0</v>
      </c>
      <c r="C3" s="334"/>
      <c r="D3" s="334"/>
      <c r="E3" s="334"/>
      <c r="F3" s="334"/>
      <c r="G3" s="334"/>
      <c r="H3" s="335"/>
    </row>
    <row r="4" spans="2:8" x14ac:dyDescent="0.25">
      <c r="B4" s="336" t="s">
        <v>1</v>
      </c>
      <c r="C4" s="338" t="s">
        <v>2</v>
      </c>
      <c r="D4" s="338"/>
      <c r="E4" s="338"/>
      <c r="F4" s="338"/>
      <c r="G4" s="338"/>
      <c r="H4" s="95"/>
    </row>
    <row r="5" spans="2:8" ht="64.5" customHeight="1" thickBot="1" x14ac:dyDescent="0.3">
      <c r="B5" s="337"/>
      <c r="C5" s="96" t="s">
        <v>3</v>
      </c>
      <c r="D5" s="96" t="s">
        <v>4</v>
      </c>
      <c r="E5" s="96" t="s">
        <v>5</v>
      </c>
      <c r="F5" s="96" t="s">
        <v>6</v>
      </c>
      <c r="G5" s="97" t="s">
        <v>7</v>
      </c>
      <c r="H5" s="98" t="s">
        <v>8</v>
      </c>
    </row>
    <row r="6" spans="2:8" x14ac:dyDescent="0.25">
      <c r="B6" s="127" t="s">
        <v>9</v>
      </c>
      <c r="C6" s="118"/>
      <c r="D6" s="118"/>
      <c r="E6" s="118"/>
      <c r="F6" s="118"/>
      <c r="G6" s="118"/>
      <c r="H6" s="279"/>
    </row>
    <row r="7" spans="2:8" ht="23.25" customHeight="1" x14ac:dyDescent="0.25">
      <c r="B7" s="128" t="s">
        <v>10</v>
      </c>
      <c r="C7" s="312">
        <v>1</v>
      </c>
      <c r="D7" s="312">
        <v>1</v>
      </c>
      <c r="E7" s="312">
        <v>1</v>
      </c>
      <c r="F7" s="312">
        <v>0</v>
      </c>
      <c r="G7" s="312">
        <v>205</v>
      </c>
      <c r="H7" s="313">
        <f t="shared" ref="H7:H8" si="0">SUM(C7:G7)</f>
        <v>208</v>
      </c>
    </row>
    <row r="8" spans="2:8" ht="26.25" customHeight="1" x14ac:dyDescent="0.25">
      <c r="B8" s="128" t="s">
        <v>11</v>
      </c>
      <c r="C8" s="312">
        <v>1</v>
      </c>
      <c r="D8" s="312">
        <v>1</v>
      </c>
      <c r="E8" s="312">
        <v>1</v>
      </c>
      <c r="F8" s="312">
        <v>0</v>
      </c>
      <c r="G8" s="312">
        <v>205</v>
      </c>
      <c r="H8" s="313">
        <f t="shared" si="0"/>
        <v>208</v>
      </c>
    </row>
    <row r="9" spans="2:8" ht="24" x14ac:dyDescent="0.25">
      <c r="B9" s="130" t="s">
        <v>12</v>
      </c>
      <c r="C9" s="312"/>
      <c r="D9" s="312"/>
      <c r="E9" s="312"/>
      <c r="F9" s="312"/>
      <c r="G9" s="312"/>
      <c r="H9" s="313"/>
    </row>
    <row r="10" spans="2:8" ht="34.35" customHeight="1" x14ac:dyDescent="0.25">
      <c r="B10" s="131" t="s">
        <v>13</v>
      </c>
      <c r="C10" s="312">
        <v>1</v>
      </c>
      <c r="D10" s="312">
        <v>0</v>
      </c>
      <c r="E10" s="312">
        <v>13</v>
      </c>
      <c r="F10" s="312">
        <v>2</v>
      </c>
      <c r="G10" s="312">
        <v>37</v>
      </c>
      <c r="H10" s="313">
        <f t="shared" ref="H10:H15" si="1">SUM(C10:G10)</f>
        <v>53</v>
      </c>
    </row>
    <row r="11" spans="2:8" ht="34.35" customHeight="1" x14ac:dyDescent="0.25">
      <c r="B11" s="128" t="s">
        <v>14</v>
      </c>
      <c r="C11" s="312">
        <v>2</v>
      </c>
      <c r="D11" s="312">
        <v>2</v>
      </c>
      <c r="E11" s="312">
        <v>2</v>
      </c>
      <c r="F11" s="312">
        <v>0</v>
      </c>
      <c r="G11" s="312">
        <v>14</v>
      </c>
      <c r="H11" s="313">
        <f t="shared" si="1"/>
        <v>20</v>
      </c>
    </row>
    <row r="12" spans="2:8" ht="26.25" customHeight="1" x14ac:dyDescent="0.25">
      <c r="B12" s="128" t="s">
        <v>15</v>
      </c>
      <c r="C12" s="312">
        <v>2</v>
      </c>
      <c r="D12" s="312">
        <v>0</v>
      </c>
      <c r="E12" s="312">
        <v>24</v>
      </c>
      <c r="F12" s="312">
        <v>2</v>
      </c>
      <c r="G12" s="312">
        <v>34</v>
      </c>
      <c r="H12" s="313">
        <f t="shared" si="1"/>
        <v>62</v>
      </c>
    </row>
    <row r="13" spans="2:8" ht="24" x14ac:dyDescent="0.25">
      <c r="B13" s="128" t="s">
        <v>16</v>
      </c>
      <c r="C13" s="312">
        <v>1</v>
      </c>
      <c r="D13" s="312">
        <v>0</v>
      </c>
      <c r="E13" s="312">
        <v>2</v>
      </c>
      <c r="F13" s="312">
        <v>1</v>
      </c>
      <c r="G13" s="312">
        <v>5</v>
      </c>
      <c r="H13" s="313">
        <f>SUM(C13:G13)</f>
        <v>9</v>
      </c>
    </row>
    <row r="14" spans="2:8" ht="24" x14ac:dyDescent="0.25">
      <c r="B14" s="128" t="s">
        <v>17</v>
      </c>
      <c r="C14" s="312">
        <v>0</v>
      </c>
      <c r="D14" s="312">
        <v>0</v>
      </c>
      <c r="E14" s="312">
        <v>0</v>
      </c>
      <c r="F14" s="312">
        <v>0</v>
      </c>
      <c r="G14" s="312">
        <v>0</v>
      </c>
      <c r="H14" s="313">
        <f>SUM(C14:G14)</f>
        <v>0</v>
      </c>
    </row>
    <row r="15" spans="2:8" ht="24" x14ac:dyDescent="0.25">
      <c r="B15" s="128" t="s">
        <v>18</v>
      </c>
      <c r="C15" s="312">
        <v>0</v>
      </c>
      <c r="D15" s="312">
        <v>0</v>
      </c>
      <c r="E15" s="312">
        <v>0</v>
      </c>
      <c r="F15" s="312">
        <v>0</v>
      </c>
      <c r="G15" s="312">
        <v>0</v>
      </c>
      <c r="H15" s="313">
        <f t="shared" si="1"/>
        <v>0</v>
      </c>
    </row>
    <row r="16" spans="2:8" x14ac:dyDescent="0.25">
      <c r="B16" s="132" t="s">
        <v>19</v>
      </c>
      <c r="C16" s="312"/>
      <c r="D16" s="312"/>
      <c r="E16" s="312"/>
      <c r="F16" s="312"/>
      <c r="G16" s="312"/>
      <c r="H16" s="313"/>
    </row>
    <row r="17" spans="2:14" x14ac:dyDescent="0.25">
      <c r="B17" s="123" t="s">
        <v>334</v>
      </c>
      <c r="C17" s="312">
        <v>14425707</v>
      </c>
      <c r="D17" s="312">
        <v>24088686</v>
      </c>
      <c r="E17" s="312">
        <v>64073598</v>
      </c>
      <c r="F17" s="312">
        <v>1126842</v>
      </c>
      <c r="G17" s="312">
        <v>33970</v>
      </c>
      <c r="H17" s="318">
        <f>+SUM(C17:G17)</f>
        <v>103748803</v>
      </c>
    </row>
    <row r="18" spans="2:14" x14ac:dyDescent="0.25">
      <c r="B18" s="123" t="s">
        <v>335</v>
      </c>
      <c r="C18" s="312">
        <v>2780102.145</v>
      </c>
      <c r="D18" s="312">
        <v>516416.73599999998</v>
      </c>
      <c r="E18" s="312">
        <v>35372165.031000003</v>
      </c>
      <c r="F18" s="312">
        <v>1729394.2849999999</v>
      </c>
      <c r="G18" s="312">
        <v>90563.135999999999</v>
      </c>
      <c r="H18" s="318">
        <f>+SUM(C18:G18)</f>
        <v>40488641.332999997</v>
      </c>
    </row>
    <row r="19" spans="2:14" ht="24" x14ac:dyDescent="0.25">
      <c r="B19" s="128" t="s">
        <v>20</v>
      </c>
      <c r="C19" s="312">
        <v>968</v>
      </c>
      <c r="D19" s="312">
        <v>266</v>
      </c>
      <c r="E19" s="312">
        <v>9563</v>
      </c>
      <c r="F19" s="312">
        <v>13</v>
      </c>
      <c r="G19" s="312">
        <v>2</v>
      </c>
      <c r="H19" s="318">
        <f>+SUM(C19:G19)</f>
        <v>10812</v>
      </c>
    </row>
    <row r="20" spans="2:14" x14ac:dyDescent="0.25">
      <c r="B20" s="133" t="s">
        <v>21</v>
      </c>
      <c r="C20" s="312">
        <v>363</v>
      </c>
      <c r="D20" s="312">
        <v>215</v>
      </c>
      <c r="E20" s="312">
        <v>1000</v>
      </c>
      <c r="F20" s="312">
        <v>276</v>
      </c>
      <c r="G20" s="312">
        <v>2950</v>
      </c>
      <c r="H20" s="318">
        <f>+SUM(C20:G20)</f>
        <v>4804</v>
      </c>
    </row>
    <row r="21" spans="2:14" x14ac:dyDescent="0.25">
      <c r="B21" s="132" t="s">
        <v>22</v>
      </c>
      <c r="C21" s="276"/>
      <c r="D21" s="276"/>
      <c r="E21" s="276"/>
      <c r="F21" s="276"/>
      <c r="G21" s="276"/>
      <c r="H21" s="318">
        <f t="shared" ref="H21:H22" si="2">+SUM(C21:G21)</f>
        <v>0</v>
      </c>
    </row>
    <row r="22" spans="2:14" x14ac:dyDescent="0.25">
      <c r="B22" s="133" t="s">
        <v>23</v>
      </c>
      <c r="C22" s="312">
        <v>894</v>
      </c>
      <c r="D22" s="312">
        <v>478</v>
      </c>
      <c r="E22" s="312">
        <v>1655</v>
      </c>
      <c r="F22" s="312">
        <v>680</v>
      </c>
      <c r="G22" s="312">
        <v>7821</v>
      </c>
      <c r="H22" s="318">
        <f t="shared" si="2"/>
        <v>11528</v>
      </c>
    </row>
    <row r="23" spans="2:14" x14ac:dyDescent="0.25">
      <c r="B23" s="262" t="s">
        <v>24</v>
      </c>
      <c r="C23" s="312">
        <v>6</v>
      </c>
      <c r="D23" s="312">
        <v>5</v>
      </c>
      <c r="E23" s="312">
        <v>6</v>
      </c>
      <c r="F23" s="312">
        <v>6</v>
      </c>
      <c r="G23" s="312">
        <v>44</v>
      </c>
      <c r="H23" s="319">
        <f>+SUM(C23:G23)</f>
        <v>67</v>
      </c>
    </row>
    <row r="24" spans="2:14" ht="24" x14ac:dyDescent="0.25">
      <c r="B24" s="263" t="s">
        <v>25</v>
      </c>
      <c r="C24" s="312">
        <v>573</v>
      </c>
      <c r="D24" s="312">
        <v>587</v>
      </c>
      <c r="E24" s="312">
        <v>935</v>
      </c>
      <c r="F24" s="312">
        <v>233</v>
      </c>
      <c r="G24" s="312">
        <v>3375</v>
      </c>
      <c r="H24" s="319">
        <f>+SUM(C24:G24)</f>
        <v>5703</v>
      </c>
    </row>
    <row r="25" spans="2:14" x14ac:dyDescent="0.25">
      <c r="B25" s="132" t="s">
        <v>26</v>
      </c>
      <c r="C25" s="312"/>
      <c r="D25" s="312"/>
      <c r="E25" s="312"/>
      <c r="F25" s="312"/>
      <c r="G25" s="312"/>
      <c r="H25" s="320"/>
      <c r="N25" s="275"/>
    </row>
    <row r="26" spans="2:14" x14ac:dyDescent="0.25">
      <c r="B26" s="262" t="s">
        <v>27</v>
      </c>
      <c r="C26" s="312">
        <v>23</v>
      </c>
      <c r="D26" s="312">
        <v>25</v>
      </c>
      <c r="E26" s="312">
        <v>45</v>
      </c>
      <c r="F26" s="312">
        <v>40</v>
      </c>
      <c r="G26" s="312">
        <v>110</v>
      </c>
      <c r="H26" s="313">
        <f>+SUM(C26:G26)</f>
        <v>243</v>
      </c>
      <c r="N26" s="275"/>
    </row>
    <row r="27" spans="2:14" x14ac:dyDescent="0.25">
      <c r="B27" s="262" t="s">
        <v>28</v>
      </c>
      <c r="C27" s="312">
        <v>114</v>
      </c>
      <c r="D27" s="312">
        <v>268</v>
      </c>
      <c r="E27" s="312">
        <v>86</v>
      </c>
      <c r="F27" s="312">
        <v>59</v>
      </c>
      <c r="G27" s="312">
        <v>244</v>
      </c>
      <c r="H27" s="313">
        <f>+SUM(C27:G27)</f>
        <v>771</v>
      </c>
      <c r="N27" s="275"/>
    </row>
    <row r="28" spans="2:14" x14ac:dyDescent="0.25">
      <c r="B28" s="248" t="s">
        <v>29</v>
      </c>
      <c r="C28" s="312"/>
      <c r="D28" s="312"/>
      <c r="E28" s="312"/>
      <c r="F28" s="312"/>
      <c r="G28" s="312"/>
      <c r="H28" s="320"/>
    </row>
    <row r="29" spans="2:14" x14ac:dyDescent="0.25">
      <c r="B29" s="262" t="s">
        <v>30</v>
      </c>
      <c r="C29" s="312">
        <v>10087</v>
      </c>
      <c r="D29" s="312">
        <v>7242</v>
      </c>
      <c r="E29" s="312">
        <v>32599</v>
      </c>
      <c r="F29" s="312">
        <v>16197</v>
      </c>
      <c r="G29" s="312">
        <v>80742</v>
      </c>
      <c r="H29" s="313">
        <f>+SUM(C29:G29)</f>
        <v>146867</v>
      </c>
    </row>
    <row r="30" spans="2:14" x14ac:dyDescent="0.25">
      <c r="B30" s="262" t="s">
        <v>31</v>
      </c>
      <c r="C30" s="312">
        <v>47</v>
      </c>
      <c r="D30" s="312">
        <v>29</v>
      </c>
      <c r="E30" s="312">
        <v>109</v>
      </c>
      <c r="F30" s="312">
        <v>32</v>
      </c>
      <c r="G30" s="312">
        <v>413</v>
      </c>
      <c r="H30" s="313">
        <f>+SUM(C30:G30)</f>
        <v>630</v>
      </c>
    </row>
    <row r="31" spans="2:14" s="274" customFormat="1" x14ac:dyDescent="0.25">
      <c r="B31" s="262" t="s">
        <v>32</v>
      </c>
      <c r="C31" s="312">
        <v>2</v>
      </c>
      <c r="D31" s="312">
        <v>16</v>
      </c>
      <c r="E31" s="312">
        <v>721</v>
      </c>
      <c r="F31" s="312">
        <v>15</v>
      </c>
      <c r="G31" s="312">
        <v>18980</v>
      </c>
      <c r="H31" s="313">
        <f>+SUM(C31:G31)</f>
        <v>19734</v>
      </c>
      <c r="I31" s="275"/>
      <c r="J31" s="275"/>
      <c r="K31" s="275"/>
      <c r="L31" s="275"/>
      <c r="M31" s="275"/>
    </row>
    <row r="32" spans="2:14" x14ac:dyDescent="0.25">
      <c r="B32" s="262" t="s">
        <v>33</v>
      </c>
      <c r="C32" s="312">
        <v>350</v>
      </c>
      <c r="D32" s="312">
        <v>1861</v>
      </c>
      <c r="E32" s="312">
        <v>21852</v>
      </c>
      <c r="F32" s="312">
        <v>19104</v>
      </c>
      <c r="G32" s="312">
        <v>271356</v>
      </c>
      <c r="H32" s="313">
        <f>+SUM(C32:G32)</f>
        <v>314523</v>
      </c>
    </row>
    <row r="33" spans="2:8" x14ac:dyDescent="0.25">
      <c r="B33" s="123" t="s">
        <v>336</v>
      </c>
      <c r="C33" s="312">
        <v>93209</v>
      </c>
      <c r="D33" s="312">
        <v>79809</v>
      </c>
      <c r="E33" s="312">
        <v>297702</v>
      </c>
      <c r="F33" s="312">
        <v>211799</v>
      </c>
      <c r="G33" s="312">
        <v>18919057</v>
      </c>
      <c r="H33" s="319">
        <f>+SUM(C33:G33)</f>
        <v>19601576</v>
      </c>
    </row>
    <row r="34" spans="2:8" ht="14.85" customHeight="1" x14ac:dyDescent="0.25">
      <c r="B34" s="132" t="s">
        <v>34</v>
      </c>
      <c r="C34" s="312"/>
      <c r="D34" s="312"/>
      <c r="E34" s="312"/>
      <c r="F34" s="312"/>
      <c r="G34" s="312"/>
      <c r="H34" s="320"/>
    </row>
    <row r="35" spans="2:8" ht="21" customHeight="1" x14ac:dyDescent="0.25">
      <c r="B35" s="128" t="s">
        <v>35</v>
      </c>
      <c r="C35" s="312">
        <v>0</v>
      </c>
      <c r="D35" s="312">
        <v>0</v>
      </c>
      <c r="E35" s="312">
        <v>0</v>
      </c>
      <c r="F35" s="312">
        <v>0</v>
      </c>
      <c r="G35" s="312">
        <v>2</v>
      </c>
      <c r="H35" s="313">
        <f>SUM(C35:G35)</f>
        <v>2</v>
      </c>
    </row>
    <row r="36" spans="2:8" ht="29.25" customHeight="1" x14ac:dyDescent="0.25">
      <c r="B36" s="128" t="s">
        <v>36</v>
      </c>
      <c r="C36" s="312">
        <v>140</v>
      </c>
      <c r="D36" s="312">
        <v>12</v>
      </c>
      <c r="E36" s="312">
        <v>1629</v>
      </c>
      <c r="F36" s="312">
        <v>10</v>
      </c>
      <c r="G36" s="312">
        <v>2</v>
      </c>
      <c r="H36" s="313">
        <f>SUM(C36:G36)</f>
        <v>1793</v>
      </c>
    </row>
    <row r="37" spans="2:8" x14ac:dyDescent="0.25">
      <c r="B37" s="132" t="s">
        <v>37</v>
      </c>
      <c r="C37" s="312"/>
      <c r="D37" s="312"/>
      <c r="E37" s="312"/>
      <c r="F37" s="312"/>
      <c r="G37" s="312"/>
      <c r="H37" s="320"/>
    </row>
    <row r="38" spans="2:8" ht="25.5" customHeight="1" x14ac:dyDescent="0.2">
      <c r="B38" s="134" t="s">
        <v>38</v>
      </c>
      <c r="C38" s="312">
        <v>4</v>
      </c>
      <c r="D38" s="312">
        <v>3</v>
      </c>
      <c r="E38" s="312">
        <v>2</v>
      </c>
      <c r="F38" s="312">
        <v>3</v>
      </c>
      <c r="G38" s="312">
        <v>6</v>
      </c>
      <c r="H38" s="313">
        <f>SUM(C38:G38)</f>
        <v>18</v>
      </c>
    </row>
    <row r="39" spans="2:8" ht="25.5" customHeight="1" x14ac:dyDescent="0.2">
      <c r="B39" s="134" t="s">
        <v>39</v>
      </c>
      <c r="C39" s="312">
        <v>4</v>
      </c>
      <c r="D39" s="312">
        <v>3</v>
      </c>
      <c r="E39" s="312">
        <v>2</v>
      </c>
      <c r="F39" s="312">
        <v>3</v>
      </c>
      <c r="G39" s="312">
        <v>6</v>
      </c>
      <c r="H39" s="313">
        <f t="shared" ref="H39:H41" si="3">SUM(C39:G39)</f>
        <v>18</v>
      </c>
    </row>
    <row r="40" spans="2:8" ht="25.5" customHeight="1" x14ac:dyDescent="0.2">
      <c r="B40" s="134" t="s">
        <v>40</v>
      </c>
      <c r="C40" s="312">
        <v>26</v>
      </c>
      <c r="D40" s="312">
        <v>22</v>
      </c>
      <c r="E40" s="312">
        <v>13</v>
      </c>
      <c r="F40" s="312">
        <v>33</v>
      </c>
      <c r="G40" s="312">
        <v>169</v>
      </c>
      <c r="H40" s="313">
        <f t="shared" si="3"/>
        <v>263</v>
      </c>
    </row>
    <row r="41" spans="2:8" ht="25.5" customHeight="1" thickBot="1" x14ac:dyDescent="0.3">
      <c r="B41" s="264" t="s">
        <v>41</v>
      </c>
      <c r="C41" s="321">
        <v>7</v>
      </c>
      <c r="D41" s="321">
        <v>7</v>
      </c>
      <c r="E41" s="321">
        <v>4</v>
      </c>
      <c r="F41" s="321">
        <v>8</v>
      </c>
      <c r="G41" s="321">
        <v>46</v>
      </c>
      <c r="H41" s="322">
        <f t="shared" si="3"/>
        <v>72</v>
      </c>
    </row>
    <row r="43" spans="2:8" ht="12.75" thickBot="1" x14ac:dyDescent="0.3">
      <c r="B43" s="340"/>
      <c r="C43" s="340"/>
      <c r="D43" s="340"/>
      <c r="E43" s="340"/>
      <c r="F43" s="340"/>
      <c r="G43" s="340"/>
      <c r="H43" s="340"/>
    </row>
    <row r="44" spans="2:8" ht="15.75" customHeight="1" x14ac:dyDescent="0.25">
      <c r="B44" s="333" t="s">
        <v>42</v>
      </c>
      <c r="C44" s="334"/>
      <c r="D44" s="334"/>
      <c r="E44" s="334"/>
      <c r="F44" s="334"/>
      <c r="G44" s="334"/>
      <c r="H44" s="335"/>
    </row>
    <row r="45" spans="2:8" x14ac:dyDescent="0.25">
      <c r="B45" s="336" t="s">
        <v>1</v>
      </c>
      <c r="C45" s="338" t="s">
        <v>43</v>
      </c>
      <c r="D45" s="338"/>
      <c r="E45" s="338"/>
      <c r="F45" s="338"/>
      <c r="G45" s="338"/>
      <c r="H45" s="95"/>
    </row>
    <row r="46" spans="2:8" ht="36.75" thickBot="1" x14ac:dyDescent="0.3">
      <c r="B46" s="337"/>
      <c r="C46" s="96" t="s">
        <v>44</v>
      </c>
      <c r="D46" s="96" t="s">
        <v>4</v>
      </c>
      <c r="E46" s="96" t="s">
        <v>5</v>
      </c>
      <c r="F46" s="96" t="s">
        <v>6</v>
      </c>
      <c r="G46" s="97" t="s">
        <v>7</v>
      </c>
      <c r="H46" s="98" t="s">
        <v>8</v>
      </c>
    </row>
    <row r="47" spans="2:8" x14ac:dyDescent="0.25">
      <c r="B47" s="127" t="s">
        <v>9</v>
      </c>
      <c r="C47" s="118"/>
      <c r="D47" s="118"/>
      <c r="E47" s="118"/>
      <c r="F47" s="118"/>
      <c r="G47" s="118"/>
      <c r="H47" s="280"/>
    </row>
    <row r="48" spans="2:8" ht="24" x14ac:dyDescent="0.25">
      <c r="B48" s="128" t="s">
        <v>10</v>
      </c>
      <c r="C48" s="136">
        <f>+C7/$H$7</f>
        <v>4.807692307692308E-3</v>
      </c>
      <c r="D48" s="136">
        <f>+D7/$H$7</f>
        <v>4.807692307692308E-3</v>
      </c>
      <c r="E48" s="136">
        <f>+E7/$H$7</f>
        <v>4.807692307692308E-3</v>
      </c>
      <c r="F48" s="136">
        <f>+F7/$H$7</f>
        <v>0</v>
      </c>
      <c r="G48" s="136">
        <f>+G7/$H$7</f>
        <v>0.98557692307692313</v>
      </c>
      <c r="H48" s="281">
        <f t="shared" ref="H48:H49" si="4">SUM(C48:G48)</f>
        <v>1</v>
      </c>
    </row>
    <row r="49" spans="2:9" ht="24" x14ac:dyDescent="0.25">
      <c r="B49" s="128" t="s">
        <v>11</v>
      </c>
      <c r="C49" s="136">
        <f>+C8/$H$8</f>
        <v>4.807692307692308E-3</v>
      </c>
      <c r="D49" s="136">
        <f>+D8/$H$8</f>
        <v>4.807692307692308E-3</v>
      </c>
      <c r="E49" s="136">
        <f>+E8/$H$8</f>
        <v>4.807692307692308E-3</v>
      </c>
      <c r="F49" s="136">
        <f>+F8/$H$8</f>
        <v>0</v>
      </c>
      <c r="G49" s="136">
        <f>+G8/$H$8</f>
        <v>0.98557692307692313</v>
      </c>
      <c r="H49" s="281">
        <f t="shared" si="4"/>
        <v>1</v>
      </c>
    </row>
    <row r="50" spans="2:9" ht="24" x14ac:dyDescent="0.25">
      <c r="B50" s="130" t="s">
        <v>12</v>
      </c>
      <c r="C50" s="129"/>
      <c r="D50" s="129"/>
      <c r="E50" s="129"/>
      <c r="F50" s="129"/>
      <c r="G50" s="129"/>
      <c r="H50" s="282"/>
    </row>
    <row r="51" spans="2:9" ht="24" x14ac:dyDescent="0.25">
      <c r="B51" s="131" t="s">
        <v>45</v>
      </c>
      <c r="C51" s="136">
        <f>+C10/$H$10</f>
        <v>1.8867924528301886E-2</v>
      </c>
      <c r="D51" s="136">
        <f>+D10/$H$10</f>
        <v>0</v>
      </c>
      <c r="E51" s="136">
        <f>+E10/$H$10</f>
        <v>0.24528301886792453</v>
      </c>
      <c r="F51" s="136">
        <f>+F10/$H$10</f>
        <v>3.7735849056603772E-2</v>
      </c>
      <c r="G51" s="136">
        <f>+G10/$H$10</f>
        <v>0.69811320754716977</v>
      </c>
      <c r="H51" s="281">
        <f t="shared" ref="H51:H56" si="5">SUM(C51:G51)</f>
        <v>1</v>
      </c>
    </row>
    <row r="52" spans="2:9" ht="36" x14ac:dyDescent="0.25">
      <c r="B52" s="128" t="s">
        <v>46</v>
      </c>
      <c r="C52" s="136">
        <f>+C11/$H$11</f>
        <v>0.1</v>
      </c>
      <c r="D52" s="136">
        <f>+D11/$H$11</f>
        <v>0.1</v>
      </c>
      <c r="E52" s="136">
        <f>+E11/$H$11</f>
        <v>0.1</v>
      </c>
      <c r="F52" s="136">
        <f>+F11/$H$11</f>
        <v>0</v>
      </c>
      <c r="G52" s="136">
        <f>+G11/$H$11</f>
        <v>0.7</v>
      </c>
      <c r="H52" s="281">
        <f t="shared" si="5"/>
        <v>1</v>
      </c>
    </row>
    <row r="53" spans="2:9" ht="24" x14ac:dyDescent="0.25">
      <c r="B53" s="128" t="s">
        <v>47</v>
      </c>
      <c r="C53" s="136">
        <f>+C12/$H$12</f>
        <v>3.2258064516129031E-2</v>
      </c>
      <c r="D53" s="136">
        <f>+D12/$H$12</f>
        <v>0</v>
      </c>
      <c r="E53" s="136">
        <f>+E12/$H$12</f>
        <v>0.38709677419354838</v>
      </c>
      <c r="F53" s="136">
        <f>+F12/$H$12</f>
        <v>3.2258064516129031E-2</v>
      </c>
      <c r="G53" s="136">
        <f>+G12/$H$12</f>
        <v>0.54838709677419351</v>
      </c>
      <c r="H53" s="281">
        <f t="shared" si="5"/>
        <v>0.99999999999999989</v>
      </c>
    </row>
    <row r="54" spans="2:9" ht="24" x14ac:dyDescent="0.25">
      <c r="B54" s="128" t="s">
        <v>48</v>
      </c>
      <c r="C54" s="136">
        <f>IFERROR(C13/$H$13,"0,0%")</f>
        <v>0.1111111111111111</v>
      </c>
      <c r="D54" s="136">
        <f>IFERROR(D13/$H$13,"0,0%")</f>
        <v>0</v>
      </c>
      <c r="E54" s="136">
        <f t="shared" ref="E54:G54" si="6">IFERROR(E13/$H$13,"0,0%")</f>
        <v>0.22222222222222221</v>
      </c>
      <c r="F54" s="136">
        <f t="shared" si="6"/>
        <v>0.1111111111111111</v>
      </c>
      <c r="G54" s="136">
        <f t="shared" si="6"/>
        <v>0.55555555555555558</v>
      </c>
      <c r="H54" s="281">
        <f>SUM(C54:G54)</f>
        <v>1</v>
      </c>
    </row>
    <row r="55" spans="2:9" ht="24" x14ac:dyDescent="0.25">
      <c r="B55" s="128" t="s">
        <v>49</v>
      </c>
      <c r="C55" s="310">
        <f>IFERROR(C14/$H$14,0)</f>
        <v>0</v>
      </c>
      <c r="D55" s="310">
        <f t="shared" ref="D55:G55" si="7">IFERROR(D14/$H$14,0)</f>
        <v>0</v>
      </c>
      <c r="E55" s="310">
        <f t="shared" si="7"/>
        <v>0</v>
      </c>
      <c r="F55" s="310">
        <f t="shared" si="7"/>
        <v>0</v>
      </c>
      <c r="G55" s="310">
        <f t="shared" si="7"/>
        <v>0</v>
      </c>
      <c r="H55" s="311">
        <f t="shared" si="5"/>
        <v>0</v>
      </c>
      <c r="I55" s="293" t="s">
        <v>50</v>
      </c>
    </row>
    <row r="56" spans="2:9" ht="24" x14ac:dyDescent="0.25">
      <c r="B56" s="128" t="s">
        <v>51</v>
      </c>
      <c r="C56" s="310">
        <f>IFERROR(C15/$H$15,0)</f>
        <v>0</v>
      </c>
      <c r="D56" s="136">
        <f>IFERROR(D15/$H$15,0)</f>
        <v>0</v>
      </c>
      <c r="E56" s="136">
        <f>IFERROR(E15/$H$15,0)</f>
        <v>0</v>
      </c>
      <c r="F56" s="136">
        <f>IFERROR(F15/$H$15,0)</f>
        <v>0</v>
      </c>
      <c r="G56" s="136">
        <f>IFERROR(G15/$H$15,0)</f>
        <v>0</v>
      </c>
      <c r="H56" s="281">
        <f t="shared" si="5"/>
        <v>0</v>
      </c>
      <c r="I56" s="293" t="s">
        <v>50</v>
      </c>
    </row>
    <row r="57" spans="2:9" x14ac:dyDescent="0.25">
      <c r="B57" s="132" t="s">
        <v>19</v>
      </c>
      <c r="C57" s="129"/>
      <c r="D57" s="129"/>
      <c r="E57" s="129"/>
      <c r="F57" s="129"/>
      <c r="G57" s="129"/>
      <c r="H57" s="282"/>
    </row>
    <row r="58" spans="2:9" x14ac:dyDescent="0.25">
      <c r="B58" s="133" t="s">
        <v>52</v>
      </c>
      <c r="C58" s="136">
        <f>+C17/$H$17</f>
        <v>0.13904456324185255</v>
      </c>
      <c r="D58" s="136">
        <f>+D17/$H$17</f>
        <v>0.23218278479800872</v>
      </c>
      <c r="E58" s="136">
        <f>+E17/$H$17</f>
        <v>0.61758397347485539</v>
      </c>
      <c r="F58" s="136">
        <f>+F17/$H$17</f>
        <v>1.0861253020914372E-2</v>
      </c>
      <c r="G58" s="136">
        <f>+G17/$H$17</f>
        <v>3.2742546436897204E-4</v>
      </c>
      <c r="H58" s="281">
        <f t="shared" ref="H58:H82" si="8">SUM(C58:G58)</f>
        <v>0.99999999999999989</v>
      </c>
    </row>
    <row r="59" spans="2:9" x14ac:dyDescent="0.25">
      <c r="B59" s="133" t="s">
        <v>53</v>
      </c>
      <c r="C59" s="136">
        <f>+C18/$H$18</f>
        <v>6.8663754906838431E-2</v>
      </c>
      <c r="D59" s="136">
        <f>+D18/$H$18</f>
        <v>1.2754607687442897E-2</v>
      </c>
      <c r="E59" s="136">
        <f>+E18/$H$18</f>
        <v>0.87363181046458471</v>
      </c>
      <c r="F59" s="136">
        <f>+F18/$H$18</f>
        <v>4.2713072804210613E-2</v>
      </c>
      <c r="G59" s="136">
        <f>+G18/$H$18</f>
        <v>2.2367541369235108E-3</v>
      </c>
      <c r="H59" s="281">
        <f t="shared" si="8"/>
        <v>1.0000000000000002</v>
      </c>
    </row>
    <row r="60" spans="2:9" ht="24" x14ac:dyDescent="0.25">
      <c r="B60" s="128" t="s">
        <v>20</v>
      </c>
      <c r="C60" s="136">
        <f>+C19/$H$19</f>
        <v>8.9530151683314838E-2</v>
      </c>
      <c r="D60" s="136">
        <f>+D19/$H$19</f>
        <v>2.4602293747687753E-2</v>
      </c>
      <c r="E60" s="136">
        <f>+E19/$H$19</f>
        <v>0.88448020717721054</v>
      </c>
      <c r="F60" s="136">
        <f>+F19/$H$19</f>
        <v>1.2023677395486497E-3</v>
      </c>
      <c r="G60" s="136">
        <f>+G19/$H$19</f>
        <v>1.849796522382538E-4</v>
      </c>
      <c r="H60" s="281">
        <f t="shared" si="8"/>
        <v>1</v>
      </c>
    </row>
    <row r="61" spans="2:9" x14ac:dyDescent="0.25">
      <c r="B61" s="133" t="s">
        <v>21</v>
      </c>
      <c r="C61" s="136">
        <f>+C20/$H$20</f>
        <v>7.5562031640299746E-2</v>
      </c>
      <c r="D61" s="136">
        <f>+D20/$H$20</f>
        <v>4.4754371357202331E-2</v>
      </c>
      <c r="E61" s="136">
        <f>+E20/$H$20</f>
        <v>0.20815986677768525</v>
      </c>
      <c r="F61" s="136">
        <f>+F20/$H$20</f>
        <v>5.7452123230641132E-2</v>
      </c>
      <c r="G61" s="136">
        <f>+G20/$H$20</f>
        <v>0.61407160699417151</v>
      </c>
      <c r="H61" s="281">
        <f t="shared" si="8"/>
        <v>1</v>
      </c>
    </row>
    <row r="62" spans="2:9" x14ac:dyDescent="0.25">
      <c r="B62" s="132" t="s">
        <v>54</v>
      </c>
      <c r="C62" s="129"/>
      <c r="D62" s="129"/>
      <c r="E62" s="129"/>
      <c r="F62" s="129"/>
      <c r="G62" s="129"/>
      <c r="H62" s="282"/>
    </row>
    <row r="63" spans="2:9" x14ac:dyDescent="0.25">
      <c r="B63" s="133" t="s">
        <v>23</v>
      </c>
      <c r="C63" s="136">
        <f>+C22/$H$22</f>
        <v>7.7550312283136705E-2</v>
      </c>
      <c r="D63" s="136">
        <f>+D22/$H$22</f>
        <v>4.1464260929909784E-2</v>
      </c>
      <c r="E63" s="136">
        <f>+E22/$H$22</f>
        <v>0.14356349757113115</v>
      </c>
      <c r="F63" s="136">
        <f>+F22/$H$22</f>
        <v>5.898681471200555E-2</v>
      </c>
      <c r="G63" s="136">
        <f>+G22/$H$22</f>
        <v>0.67843511450381677</v>
      </c>
      <c r="H63" s="281">
        <f t="shared" si="8"/>
        <v>1</v>
      </c>
    </row>
    <row r="64" spans="2:9" x14ac:dyDescent="0.25">
      <c r="B64" s="133" t="s">
        <v>24</v>
      </c>
      <c r="C64" s="136">
        <f>+C23/$H$23</f>
        <v>8.9552238805970144E-2</v>
      </c>
      <c r="D64" s="136">
        <f>+D23/$H$23</f>
        <v>7.4626865671641784E-2</v>
      </c>
      <c r="E64" s="136">
        <f>+E23/$H$23</f>
        <v>8.9552238805970144E-2</v>
      </c>
      <c r="F64" s="136">
        <f>+F23/$H$23</f>
        <v>8.9552238805970144E-2</v>
      </c>
      <c r="G64" s="136">
        <f>+G23/$H$23</f>
        <v>0.65671641791044777</v>
      </c>
      <c r="H64" s="281">
        <f t="shared" si="8"/>
        <v>1</v>
      </c>
    </row>
    <row r="65" spans="2:8" ht="24" x14ac:dyDescent="0.25">
      <c r="B65" s="128" t="s">
        <v>25</v>
      </c>
      <c r="C65" s="136">
        <f>+C24/$H$24</f>
        <v>0.10047343503419252</v>
      </c>
      <c r="D65" s="136">
        <f>+D24/$H$24</f>
        <v>0.10292828335963528</v>
      </c>
      <c r="E65" s="136">
        <f>+E24/$H$24</f>
        <v>0.16394879887778363</v>
      </c>
      <c r="F65" s="136">
        <f>+F24/$H$24</f>
        <v>4.0855689987725756E-2</v>
      </c>
      <c r="G65" s="136">
        <f>+G24/$H$24</f>
        <v>0.59179379274066279</v>
      </c>
      <c r="H65" s="281">
        <f t="shared" si="8"/>
        <v>1</v>
      </c>
    </row>
    <row r="66" spans="2:8" x14ac:dyDescent="0.25">
      <c r="B66" s="132" t="s">
        <v>26</v>
      </c>
      <c r="C66" s="129"/>
      <c r="D66" s="129"/>
      <c r="E66" s="129"/>
      <c r="F66" s="129"/>
      <c r="G66" s="129"/>
      <c r="H66" s="282"/>
    </row>
    <row r="67" spans="2:8" x14ac:dyDescent="0.25">
      <c r="B67" s="133" t="s">
        <v>27</v>
      </c>
      <c r="C67" s="136">
        <f>+C26/$H$26</f>
        <v>9.4650205761316872E-2</v>
      </c>
      <c r="D67" s="136">
        <f>+D26/$H$26</f>
        <v>0.102880658436214</v>
      </c>
      <c r="E67" s="136">
        <f>+E26/$H$26</f>
        <v>0.18518518518518517</v>
      </c>
      <c r="F67" s="136">
        <f>+F26/$H$26</f>
        <v>0.16460905349794239</v>
      </c>
      <c r="G67" s="136">
        <f>+G26/$H$26</f>
        <v>0.45267489711934156</v>
      </c>
      <c r="H67" s="281">
        <f t="shared" si="8"/>
        <v>1</v>
      </c>
    </row>
    <row r="68" spans="2:8" x14ac:dyDescent="0.25">
      <c r="B68" s="133" t="s">
        <v>28</v>
      </c>
      <c r="C68" s="136">
        <f>+C27/$H$27</f>
        <v>0.14785992217898833</v>
      </c>
      <c r="D68" s="136">
        <f>+D27/$H$27</f>
        <v>0.34760051880674447</v>
      </c>
      <c r="E68" s="136">
        <f>+E27/$H$27</f>
        <v>0.11154345006485085</v>
      </c>
      <c r="F68" s="136">
        <f>+F27/$H$27</f>
        <v>7.6523994811932561E-2</v>
      </c>
      <c r="G68" s="136">
        <f>+G27/$H$27</f>
        <v>0.31647211413748377</v>
      </c>
      <c r="H68" s="281">
        <f t="shared" si="8"/>
        <v>1</v>
      </c>
    </row>
    <row r="69" spans="2:8" x14ac:dyDescent="0.25">
      <c r="B69" s="132" t="s">
        <v>55</v>
      </c>
      <c r="C69" s="129"/>
      <c r="D69" s="129"/>
      <c r="E69" s="129"/>
      <c r="F69" s="129"/>
      <c r="G69" s="129"/>
      <c r="H69" s="282"/>
    </row>
    <row r="70" spans="2:8" x14ac:dyDescent="0.25">
      <c r="B70" s="133" t="s">
        <v>30</v>
      </c>
      <c r="C70" s="136">
        <f>+C29/$H$29</f>
        <v>6.8681187741289743E-2</v>
      </c>
      <c r="D70" s="136">
        <f>+D29/$H$29</f>
        <v>4.9309919859464688E-2</v>
      </c>
      <c r="E70" s="136">
        <f>+E29/$H$29</f>
        <v>0.22196272818264143</v>
      </c>
      <c r="F70" s="136">
        <f>+F29/$H$29</f>
        <v>0.11028345373705462</v>
      </c>
      <c r="G70" s="136">
        <f>+G29/$H$29</f>
        <v>0.5497627104795495</v>
      </c>
      <c r="H70" s="281">
        <f t="shared" si="8"/>
        <v>1</v>
      </c>
    </row>
    <row r="71" spans="2:8" x14ac:dyDescent="0.25">
      <c r="B71" s="133" t="s">
        <v>31</v>
      </c>
      <c r="C71" s="136">
        <f>+C30/$H$30</f>
        <v>7.4603174603174602E-2</v>
      </c>
      <c r="D71" s="136">
        <f>+D30/$H$30</f>
        <v>4.6031746031746035E-2</v>
      </c>
      <c r="E71" s="136">
        <f>+E30/$H$30</f>
        <v>0.17301587301587301</v>
      </c>
      <c r="F71" s="136">
        <f>+F30/$H$30</f>
        <v>5.0793650793650794E-2</v>
      </c>
      <c r="G71" s="136">
        <f>+G30/$H$30</f>
        <v>0.65555555555555556</v>
      </c>
      <c r="H71" s="281">
        <f t="shared" si="8"/>
        <v>1</v>
      </c>
    </row>
    <row r="72" spans="2:8" x14ac:dyDescent="0.25">
      <c r="B72" s="133" t="s">
        <v>32</v>
      </c>
      <c r="C72" s="136">
        <f>+C31/$H$31</f>
        <v>1.0134792743488395E-4</v>
      </c>
      <c r="D72" s="136">
        <f>+D31/$H$31</f>
        <v>8.1078341947907163E-4</v>
      </c>
      <c r="E72" s="136">
        <f>+E31/$H$31</f>
        <v>3.6535927840275664E-2</v>
      </c>
      <c r="F72" s="136">
        <f>+F31/$H$31</f>
        <v>7.6010945576162963E-4</v>
      </c>
      <c r="G72" s="136">
        <f>+G31/$H$31</f>
        <v>0.96179183135704871</v>
      </c>
      <c r="H72" s="281">
        <f t="shared" si="8"/>
        <v>1</v>
      </c>
    </row>
    <row r="73" spans="2:8" x14ac:dyDescent="0.25">
      <c r="B73" s="133" t="s">
        <v>33</v>
      </c>
      <c r="C73" s="136">
        <f>+C32/$H$32</f>
        <v>1.1127962025034735E-3</v>
      </c>
      <c r="D73" s="136">
        <f>+D32/$H$32</f>
        <v>5.9168963795970409E-3</v>
      </c>
      <c r="E73" s="136">
        <f>+E32/$H$32</f>
        <v>6.947663604887401E-2</v>
      </c>
      <c r="F73" s="136">
        <f>+F32/$H$32</f>
        <v>6.0739596150361022E-2</v>
      </c>
      <c r="G73" s="136">
        <f>+G32/$H$32</f>
        <v>0.86275407521866443</v>
      </c>
      <c r="H73" s="281">
        <f t="shared" si="8"/>
        <v>1</v>
      </c>
    </row>
    <row r="74" spans="2:8" x14ac:dyDescent="0.25">
      <c r="B74" s="133" t="s">
        <v>56</v>
      </c>
      <c r="C74" s="136">
        <f>+C33/$H$33</f>
        <v>4.7551788692909184E-3</v>
      </c>
      <c r="D74" s="136">
        <f>+D33/$H$33</f>
        <v>4.0715603684111932E-3</v>
      </c>
      <c r="E74" s="136">
        <f>+E33/$H$33</f>
        <v>1.5187656339469847E-2</v>
      </c>
      <c r="F74" s="136">
        <f>+F33/$H$33</f>
        <v>1.0805202602076486E-2</v>
      </c>
      <c r="G74" s="136">
        <f>+G33/$H$33</f>
        <v>0.9651804018207516</v>
      </c>
      <c r="H74" s="281">
        <f t="shared" si="8"/>
        <v>1</v>
      </c>
    </row>
    <row r="75" spans="2:8" x14ac:dyDescent="0.25">
      <c r="B75" s="132" t="s">
        <v>34</v>
      </c>
      <c r="C75" s="129"/>
      <c r="D75" s="129"/>
      <c r="E75" s="129"/>
      <c r="F75" s="129"/>
      <c r="G75" s="129"/>
      <c r="H75" s="282"/>
    </row>
    <row r="76" spans="2:8" ht="24" x14ac:dyDescent="0.25">
      <c r="B76" s="128" t="s">
        <v>57</v>
      </c>
      <c r="C76" s="136">
        <f>+C35/$H$35</f>
        <v>0</v>
      </c>
      <c r="D76" s="136">
        <f>+D35/$H$35</f>
        <v>0</v>
      </c>
      <c r="E76" s="136">
        <f>+E35/$H$35</f>
        <v>0</v>
      </c>
      <c r="F76" s="136">
        <f>+F35/$H$35</f>
        <v>0</v>
      </c>
      <c r="G76" s="136">
        <f>+G35/$H$35</f>
        <v>1</v>
      </c>
      <c r="H76" s="281">
        <f t="shared" si="8"/>
        <v>1</v>
      </c>
    </row>
    <row r="77" spans="2:8" ht="24" x14ac:dyDescent="0.25">
      <c r="B77" s="128" t="s">
        <v>36</v>
      </c>
      <c r="C77" s="136">
        <f>+C36/$H$36</f>
        <v>7.8081427774679302E-2</v>
      </c>
      <c r="D77" s="136">
        <f>+D36/$H$36</f>
        <v>6.6926938092582268E-3</v>
      </c>
      <c r="E77" s="136">
        <f>+E36/$H$36</f>
        <v>0.90853318460680421</v>
      </c>
      <c r="F77" s="136">
        <f>+F36/$H$36</f>
        <v>5.5772448410485219E-3</v>
      </c>
      <c r="G77" s="136">
        <f>+G36/$H$36</f>
        <v>1.1154489682097045E-3</v>
      </c>
      <c r="H77" s="281">
        <f t="shared" si="8"/>
        <v>0.99999999999999989</v>
      </c>
    </row>
    <row r="78" spans="2:8" x14ac:dyDescent="0.25">
      <c r="B78" s="132" t="s">
        <v>37</v>
      </c>
      <c r="C78" s="129"/>
      <c r="D78" s="129"/>
      <c r="E78" s="129"/>
      <c r="F78" s="129"/>
      <c r="G78" s="129"/>
      <c r="H78" s="282"/>
    </row>
    <row r="79" spans="2:8" ht="36" x14ac:dyDescent="0.2">
      <c r="B79" s="134" t="s">
        <v>58</v>
      </c>
      <c r="C79" s="136">
        <f>+C38/$H$38</f>
        <v>0.22222222222222221</v>
      </c>
      <c r="D79" s="136">
        <f>+D38/$H$38</f>
        <v>0.16666666666666666</v>
      </c>
      <c r="E79" s="136">
        <f>+E38/$H$38</f>
        <v>0.1111111111111111</v>
      </c>
      <c r="F79" s="136">
        <f>+F38/$H$38</f>
        <v>0.16666666666666666</v>
      </c>
      <c r="G79" s="136">
        <f>+G38/$H$38</f>
        <v>0.33333333333333331</v>
      </c>
      <c r="H79" s="281">
        <f t="shared" si="8"/>
        <v>1</v>
      </c>
    </row>
    <row r="80" spans="2:8" ht="36" x14ac:dyDescent="0.2">
      <c r="B80" s="134" t="s">
        <v>59</v>
      </c>
      <c r="C80" s="136">
        <f>+C39/$H$39</f>
        <v>0.22222222222222221</v>
      </c>
      <c r="D80" s="136">
        <f>+D39/$H$39</f>
        <v>0.16666666666666666</v>
      </c>
      <c r="E80" s="136">
        <f>+E39/$H$39</f>
        <v>0.1111111111111111</v>
      </c>
      <c r="F80" s="136">
        <f>+F39/$H$39</f>
        <v>0.16666666666666666</v>
      </c>
      <c r="G80" s="136">
        <f>+G39/$H$39</f>
        <v>0.33333333333333331</v>
      </c>
      <c r="H80" s="281">
        <f t="shared" si="8"/>
        <v>1</v>
      </c>
    </row>
    <row r="81" spans="2:9" ht="36" x14ac:dyDescent="0.2">
      <c r="B81" s="134" t="s">
        <v>60</v>
      </c>
      <c r="C81" s="136">
        <f>+C40/$H$40</f>
        <v>9.8859315589353611E-2</v>
      </c>
      <c r="D81" s="136">
        <f>+D40/$H$40</f>
        <v>8.3650190114068435E-2</v>
      </c>
      <c r="E81" s="136">
        <f>+E40/$H$40</f>
        <v>4.9429657794676805E-2</v>
      </c>
      <c r="F81" s="136">
        <f>+F40/$H$40</f>
        <v>0.12547528517110265</v>
      </c>
      <c r="G81" s="136">
        <f>+G40/$H$40</f>
        <v>0.64258555133079853</v>
      </c>
      <c r="H81" s="281">
        <f t="shared" si="8"/>
        <v>1</v>
      </c>
    </row>
    <row r="82" spans="2:9" ht="36.75" thickBot="1" x14ac:dyDescent="0.25">
      <c r="B82" s="135" t="s">
        <v>61</v>
      </c>
      <c r="C82" s="136">
        <f>+C41/$H$41</f>
        <v>9.7222222222222224E-2</v>
      </c>
      <c r="D82" s="136">
        <f>+D41/$H$41</f>
        <v>9.7222222222222224E-2</v>
      </c>
      <c r="E82" s="136">
        <f>+E41/$H$41</f>
        <v>5.5555555555555552E-2</v>
      </c>
      <c r="F82" s="136">
        <f>+F41/$H$41</f>
        <v>0.1111111111111111</v>
      </c>
      <c r="G82" s="136">
        <f>+G41/$H$41</f>
        <v>0.63888888888888884</v>
      </c>
      <c r="H82" s="281">
        <f t="shared" si="8"/>
        <v>1</v>
      </c>
    </row>
    <row r="83" spans="2:9" x14ac:dyDescent="0.25">
      <c r="B83" s="99" t="s">
        <v>62</v>
      </c>
      <c r="C83" s="100">
        <f>SUM(C48:C82)/SUM($C$48:$G$82)</f>
        <v>7.7792315218508851E-2</v>
      </c>
      <c r="D83" s="100">
        <f t="shared" ref="D83:G83" si="9">SUM(D48:D82)/SUM($C$48:$G$82)</f>
        <v>6.6171129805671233E-2</v>
      </c>
      <c r="E83" s="100">
        <f t="shared" si="9"/>
        <v>0.23053022576556645</v>
      </c>
      <c r="F83" s="100">
        <f t="shared" si="9"/>
        <v>5.8951562326547517E-2</v>
      </c>
      <c r="G83" s="100">
        <f t="shared" si="9"/>
        <v>0.56655476688370598</v>
      </c>
      <c r="H83" s="101">
        <f t="shared" ref="H83" si="10">AVERAGE(H47:H82)</f>
        <v>0.9285714285714286</v>
      </c>
      <c r="I83" s="274" t="s">
        <v>63</v>
      </c>
    </row>
    <row r="84" spans="2:9" x14ac:dyDescent="0.25">
      <c r="C84" s="102"/>
      <c r="D84" s="102"/>
      <c r="E84" s="102"/>
      <c r="F84" s="102"/>
      <c r="G84" s="102"/>
      <c r="H84" s="283"/>
    </row>
    <row r="85" spans="2:9" ht="12.75" thickBot="1" x14ac:dyDescent="0.3">
      <c r="B85" s="339"/>
      <c r="C85" s="339"/>
      <c r="D85" s="339"/>
      <c r="E85" s="339"/>
      <c r="F85" s="339"/>
      <c r="G85" s="339"/>
      <c r="H85" s="339"/>
    </row>
    <row r="86" spans="2:9" x14ac:dyDescent="0.25">
      <c r="B86" s="333" t="s">
        <v>64</v>
      </c>
      <c r="C86" s="334"/>
      <c r="D86" s="334"/>
      <c r="E86" s="334"/>
      <c r="F86" s="334"/>
      <c r="G86" s="334"/>
      <c r="H86" s="335"/>
    </row>
    <row r="87" spans="2:9" ht="56.85" customHeight="1" thickBot="1" x14ac:dyDescent="0.3">
      <c r="B87" s="103" t="s">
        <v>1</v>
      </c>
      <c r="C87" s="96" t="s">
        <v>44</v>
      </c>
      <c r="D87" s="96" t="s">
        <v>4</v>
      </c>
      <c r="E87" s="96" t="s">
        <v>5</v>
      </c>
      <c r="F87" s="96" t="s">
        <v>6</v>
      </c>
      <c r="G87" s="97" t="s">
        <v>7</v>
      </c>
      <c r="H87" s="98" t="s">
        <v>8</v>
      </c>
    </row>
    <row r="88" spans="2:9" x14ac:dyDescent="0.25">
      <c r="B88" s="137" t="s">
        <v>65</v>
      </c>
      <c r="C88" s="138">
        <f>+C83</f>
        <v>7.7792315218508851E-2</v>
      </c>
      <c r="D88" s="138">
        <f>+D83</f>
        <v>6.6171129805671233E-2</v>
      </c>
      <c r="E88" s="138">
        <f>+E83</f>
        <v>0.23053022576556645</v>
      </c>
      <c r="F88" s="138">
        <f>+F83</f>
        <v>5.8951562326547517E-2</v>
      </c>
      <c r="G88" s="138"/>
      <c r="H88" s="284">
        <f>SUM(C88:G88)</f>
        <v>0.43344523311629402</v>
      </c>
    </row>
    <row r="89" spans="2:9" x14ac:dyDescent="0.25">
      <c r="B89" s="123" t="s">
        <v>66</v>
      </c>
      <c r="C89" s="139"/>
      <c r="D89" s="139"/>
      <c r="E89" s="139"/>
      <c r="F89" s="139"/>
      <c r="G89" s="139">
        <f>+G83</f>
        <v>0.56655476688370598</v>
      </c>
      <c r="H89" s="285">
        <f>SUM(C89:G89)</f>
        <v>0.56655476688370598</v>
      </c>
    </row>
    <row r="90" spans="2:9" x14ac:dyDescent="0.25">
      <c r="B90" s="123" t="s">
        <v>67</v>
      </c>
      <c r="C90" s="140">
        <f>+C91-C88</f>
        <v>0.10168206649106473</v>
      </c>
      <c r="D90" s="140">
        <f>+D91-D88</f>
        <v>8.649205518295551E-2</v>
      </c>
      <c r="E90" s="140">
        <f t="shared" ref="E90:F90" si="11">+E91-E88</f>
        <v>0.30132526173892948</v>
      </c>
      <c r="F90" s="140">
        <f t="shared" si="11"/>
        <v>7.70553834707563E-2</v>
      </c>
      <c r="G90" s="139"/>
      <c r="H90" s="285">
        <f>SUM(C90:G90)</f>
        <v>0.5665547668837061</v>
      </c>
    </row>
    <row r="91" spans="2:9" ht="12.75" thickBot="1" x14ac:dyDescent="0.3">
      <c r="B91" s="99" t="s">
        <v>68</v>
      </c>
      <c r="C91" s="104">
        <f>+C88/$H$88</f>
        <v>0.17947438170957358</v>
      </c>
      <c r="D91" s="104">
        <f t="shared" ref="D91:F91" si="12">+D88/$H$88</f>
        <v>0.15266318498862674</v>
      </c>
      <c r="E91" s="104">
        <f t="shared" si="12"/>
        <v>0.53185548750449596</v>
      </c>
      <c r="F91" s="104">
        <f t="shared" si="12"/>
        <v>0.13600694579730382</v>
      </c>
      <c r="G91" s="105"/>
      <c r="H91" s="106">
        <f>SUM(C91:G91)</f>
        <v>1.0000000000000002</v>
      </c>
    </row>
    <row r="92" spans="2:9" x14ac:dyDescent="0.25">
      <c r="D92" s="102"/>
      <c r="E92" s="102"/>
      <c r="F92" s="102"/>
    </row>
    <row r="93" spans="2:9" ht="12.75" thickBot="1" x14ac:dyDescent="0.3">
      <c r="D93" s="102"/>
      <c r="E93" s="102"/>
      <c r="F93" s="102"/>
    </row>
    <row r="94" spans="2:9" ht="23.1" customHeight="1" x14ac:dyDescent="0.25">
      <c r="B94" s="333" t="s">
        <v>69</v>
      </c>
      <c r="C94" s="334"/>
      <c r="D94" s="334"/>
      <c r="E94" s="334"/>
      <c r="F94" s="334"/>
      <c r="G94" s="334"/>
      <c r="H94" s="335"/>
    </row>
    <row r="95" spans="2:9" x14ac:dyDescent="0.25">
      <c r="B95" s="336" t="s">
        <v>1</v>
      </c>
      <c r="C95" s="338" t="s">
        <v>70</v>
      </c>
      <c r="D95" s="338"/>
      <c r="E95" s="338"/>
      <c r="F95" s="338"/>
      <c r="G95" s="338"/>
      <c r="H95" s="95"/>
    </row>
    <row r="96" spans="2:9" ht="36.75" thickBot="1" x14ac:dyDescent="0.3">
      <c r="B96" s="337"/>
      <c r="C96" s="96" t="s">
        <v>44</v>
      </c>
      <c r="D96" s="96" t="s">
        <v>4</v>
      </c>
      <c r="E96" s="96" t="s">
        <v>5</v>
      </c>
      <c r="F96" s="96" t="s">
        <v>6</v>
      </c>
      <c r="G96" s="97" t="s">
        <v>7</v>
      </c>
      <c r="H96" s="98" t="s">
        <v>8</v>
      </c>
    </row>
    <row r="97" spans="2:17" s="256" customFormat="1" ht="21" customHeight="1" x14ac:dyDescent="0.25">
      <c r="B97" s="133" t="s">
        <v>71</v>
      </c>
      <c r="C97" s="312">
        <v>21</v>
      </c>
      <c r="D97" s="312">
        <v>23</v>
      </c>
      <c r="E97" s="312">
        <v>47</v>
      </c>
      <c r="F97" s="312">
        <v>42</v>
      </c>
      <c r="G97" s="312">
        <v>98</v>
      </c>
      <c r="H97" s="313">
        <f>SUM(C97:G97)</f>
        <v>231</v>
      </c>
      <c r="I97" s="276"/>
      <c r="J97" s="276"/>
      <c r="K97" s="276"/>
      <c r="L97" s="276"/>
      <c r="M97" s="276"/>
    </row>
    <row r="98" spans="2:17" s="256" customFormat="1" ht="21" customHeight="1" thickBot="1" x14ac:dyDescent="0.3">
      <c r="B98" s="261" t="s">
        <v>72</v>
      </c>
      <c r="C98" s="314">
        <v>50</v>
      </c>
      <c r="D98" s="314">
        <v>46</v>
      </c>
      <c r="E98" s="314">
        <v>106</v>
      </c>
      <c r="F98" s="314">
        <v>21</v>
      </c>
      <c r="G98" s="314">
        <v>465</v>
      </c>
      <c r="H98" s="315">
        <f>SUM(C98:G98)</f>
        <v>688</v>
      </c>
      <c r="I98" s="276"/>
      <c r="J98" s="276"/>
      <c r="K98" s="276"/>
      <c r="L98" s="276"/>
      <c r="M98" s="276"/>
    </row>
    <row r="99" spans="2:17" s="256" customFormat="1" ht="12.75" thickBot="1" x14ac:dyDescent="0.3">
      <c r="B99" s="257" t="s">
        <v>73</v>
      </c>
      <c r="C99" s="258">
        <f>+SUM(C97:C98)</f>
        <v>71</v>
      </c>
      <c r="D99" s="258">
        <f t="shared" ref="D99:G99" si="13">+SUM(D97:D98)</f>
        <v>69</v>
      </c>
      <c r="E99" s="258">
        <f t="shared" si="13"/>
        <v>153</v>
      </c>
      <c r="F99" s="258">
        <f t="shared" si="13"/>
        <v>63</v>
      </c>
      <c r="G99" s="258">
        <f t="shared" si="13"/>
        <v>563</v>
      </c>
      <c r="H99" s="258">
        <f t="shared" ref="H99" si="14">SUM(H97:H98)</f>
        <v>919</v>
      </c>
      <c r="I99" s="276"/>
      <c r="J99" s="276"/>
      <c r="K99" s="276"/>
      <c r="L99" s="276"/>
      <c r="M99" s="276"/>
    </row>
    <row r="100" spans="2:17" x14ac:dyDescent="0.25">
      <c r="D100" s="102"/>
      <c r="E100" s="102"/>
      <c r="F100" s="102"/>
    </row>
    <row r="102" spans="2:17" x14ac:dyDescent="0.25">
      <c r="B102" s="341" t="s">
        <v>74</v>
      </c>
      <c r="C102" s="341"/>
      <c r="D102" s="341"/>
      <c r="E102" s="341"/>
      <c r="F102" s="341"/>
      <c r="G102" s="341"/>
      <c r="H102" s="341"/>
    </row>
    <row r="103" spans="2:17" ht="8.1" customHeight="1" thickBot="1" x14ac:dyDescent="0.3"/>
    <row r="104" spans="2:17" ht="30.6" customHeight="1" thickBot="1" x14ac:dyDescent="0.3">
      <c r="B104" s="342" t="s">
        <v>75</v>
      </c>
      <c r="C104" s="343"/>
      <c r="D104" s="343"/>
      <c r="E104" s="343"/>
      <c r="F104" s="343"/>
      <c r="G104" s="343"/>
      <c r="H104" s="344"/>
      <c r="I104" s="94"/>
      <c r="N104" s="275"/>
      <c r="O104" s="275"/>
      <c r="P104" s="275"/>
    </row>
    <row r="105" spans="2:17" ht="36.75" thickBot="1" x14ac:dyDescent="0.3">
      <c r="B105" s="241" t="s">
        <v>1</v>
      </c>
      <c r="C105" s="242" t="s">
        <v>44</v>
      </c>
      <c r="D105" s="243" t="s">
        <v>4</v>
      </c>
      <c r="E105" s="243" t="s">
        <v>5</v>
      </c>
      <c r="F105" s="243" t="s">
        <v>6</v>
      </c>
      <c r="G105" s="244" t="s">
        <v>7</v>
      </c>
      <c r="H105" s="245" t="s">
        <v>8</v>
      </c>
      <c r="N105" s="275"/>
      <c r="O105" s="275"/>
      <c r="P105" s="275"/>
      <c r="Q105" s="273"/>
    </row>
    <row r="106" spans="2:17" ht="12.75" thickBot="1" x14ac:dyDescent="0.3">
      <c r="B106" s="316" t="s">
        <v>76</v>
      </c>
      <c r="C106" s="301">
        <v>3252967</v>
      </c>
      <c r="D106" s="301">
        <v>3503195</v>
      </c>
      <c r="E106" s="301">
        <v>6881275</v>
      </c>
      <c r="F106" s="301">
        <v>5880363</v>
      </c>
      <c r="G106" s="301">
        <v>15514148</v>
      </c>
      <c r="H106" s="302">
        <f>SUM(C106:G106)</f>
        <v>35031948</v>
      </c>
      <c r="N106" s="275"/>
      <c r="O106" s="275"/>
      <c r="P106" s="277"/>
      <c r="Q106" s="273"/>
    </row>
    <row r="107" spans="2:17" x14ac:dyDescent="0.25">
      <c r="B107" s="317" t="s">
        <v>77</v>
      </c>
      <c r="C107" s="303">
        <v>0</v>
      </c>
      <c r="D107" s="303">
        <v>0</v>
      </c>
      <c r="E107" s="303">
        <v>0</v>
      </c>
      <c r="F107" s="303">
        <v>0</v>
      </c>
      <c r="G107" s="301">
        <v>8683402</v>
      </c>
      <c r="H107" s="304">
        <f>+SUM(C107:G107)</f>
        <v>8683402</v>
      </c>
      <c r="N107" s="275"/>
      <c r="O107" s="275"/>
      <c r="P107" s="275"/>
      <c r="Q107" s="273"/>
    </row>
    <row r="108" spans="2:17" ht="16.350000000000001" customHeight="1" x14ac:dyDescent="0.25">
      <c r="B108" s="317" t="s">
        <v>78</v>
      </c>
      <c r="C108" s="305">
        <v>74897</v>
      </c>
      <c r="D108" s="305">
        <v>95535</v>
      </c>
      <c r="E108" s="305">
        <v>39530</v>
      </c>
      <c r="F108" s="305">
        <v>8968</v>
      </c>
      <c r="G108" s="305">
        <v>161070</v>
      </c>
      <c r="H108" s="304">
        <f>SUM(C108:G108)</f>
        <v>380000</v>
      </c>
      <c r="N108" s="287"/>
      <c r="O108" s="275"/>
      <c r="P108" s="275"/>
      <c r="Q108" s="273"/>
    </row>
    <row r="109" spans="2:17" x14ac:dyDescent="0.25">
      <c r="B109" s="123" t="s">
        <v>79</v>
      </c>
      <c r="C109" s="305">
        <f>(+$H$109/$H$99)*C99</f>
        <v>433787.82698585419</v>
      </c>
      <c r="D109" s="305">
        <f>(+$H$109/$H$99)*D99</f>
        <v>421568.45157780196</v>
      </c>
      <c r="E109" s="305">
        <f>(+$H$109/$H$99)*E99</f>
        <v>934782.21871599567</v>
      </c>
      <c r="F109" s="305">
        <f>(+$H$109/$H$99)*F99</f>
        <v>384910.32535364525</v>
      </c>
      <c r="G109" s="306">
        <f>+$H$109/$H$99*G99</f>
        <v>3439754.1773667028</v>
      </c>
      <c r="H109" s="307">
        <v>5614803</v>
      </c>
      <c r="N109" s="288"/>
      <c r="O109" s="275"/>
      <c r="P109" s="275"/>
    </row>
    <row r="110" spans="2:17" x14ac:dyDescent="0.25">
      <c r="B110" s="123" t="s">
        <v>80</v>
      </c>
      <c r="C110" s="305">
        <f>+$H$110/$H$99*C99</f>
        <v>33492.608269858545</v>
      </c>
      <c r="D110" s="305">
        <f>+$H$110/$H$99*D99</f>
        <v>32549.15451577802</v>
      </c>
      <c r="E110" s="305">
        <f t="shared" ref="E110:G110" si="15">+$H$110/$H$99*E99</f>
        <v>72174.212187159967</v>
      </c>
      <c r="F110" s="305">
        <f t="shared" si="15"/>
        <v>29718.793253536453</v>
      </c>
      <c r="G110" s="306">
        <f t="shared" si="15"/>
        <v>265582.23177366704</v>
      </c>
      <c r="H110" s="307">
        <v>433517</v>
      </c>
      <c r="N110" s="287"/>
      <c r="O110" s="275"/>
      <c r="P110" s="275"/>
    </row>
    <row r="111" spans="2:17" x14ac:dyDescent="0.25">
      <c r="B111" s="123" t="s">
        <v>81</v>
      </c>
      <c r="C111" s="305">
        <f>+$H$111/$H$97*C97</f>
        <v>83636.363636363632</v>
      </c>
      <c r="D111" s="305">
        <f t="shared" ref="D111:G111" si="16">+$H$111/$H$97*D97</f>
        <v>91601.731601731604</v>
      </c>
      <c r="E111" s="305">
        <f t="shared" si="16"/>
        <v>187186.14718614719</v>
      </c>
      <c r="F111" s="305">
        <f t="shared" si="16"/>
        <v>167272.72727272726</v>
      </c>
      <c r="G111" s="306">
        <f t="shared" si="16"/>
        <v>390303.03030303033</v>
      </c>
      <c r="H111" s="307">
        <v>920000</v>
      </c>
      <c r="N111" s="287"/>
      <c r="O111" s="275"/>
      <c r="P111" s="275"/>
    </row>
    <row r="112" spans="2:17" x14ac:dyDescent="0.25">
      <c r="B112" s="123" t="s">
        <v>82</v>
      </c>
      <c r="C112" s="305">
        <f>+$H$112*C83</f>
        <v>1600237.0887879452</v>
      </c>
      <c r="D112" s="305">
        <f>+$H$112*D83</f>
        <v>1361181.9602566944</v>
      </c>
      <c r="E112" s="305">
        <f>+$H$112*E83</f>
        <v>4742152.4391003856</v>
      </c>
      <c r="F112" s="305">
        <f>+$H$112*F83</f>
        <v>1212670.8944444729</v>
      </c>
      <c r="G112" s="305">
        <f>+$H$112*G83</f>
        <v>11654389.617410503</v>
      </c>
      <c r="H112" s="307">
        <v>20570632</v>
      </c>
      <c r="N112" s="275"/>
      <c r="O112" s="275"/>
      <c r="P112" s="275"/>
    </row>
    <row r="113" spans="2:16" ht="17.45" customHeight="1" x14ac:dyDescent="0.25">
      <c r="B113" s="249" t="s">
        <v>83</v>
      </c>
      <c r="C113" s="250">
        <f t="shared" ref="C113:G113" si="17">SUM(C106:C112)</f>
        <v>5479017.887680022</v>
      </c>
      <c r="D113" s="250">
        <f t="shared" si="17"/>
        <v>5505631.2979520056</v>
      </c>
      <c r="E113" s="250">
        <f t="shared" si="17"/>
        <v>12857100.017189689</v>
      </c>
      <c r="F113" s="250">
        <f t="shared" si="17"/>
        <v>7683903.7403243817</v>
      </c>
      <c r="G113" s="250">
        <f t="shared" si="17"/>
        <v>40108649.056853905</v>
      </c>
      <c r="H113" s="250">
        <f>SUM(H106:H112)</f>
        <v>71634302</v>
      </c>
      <c r="N113" s="275"/>
      <c r="O113" s="275"/>
      <c r="P113" s="275"/>
    </row>
    <row r="114" spans="2:16" x14ac:dyDescent="0.25">
      <c r="B114" s="123" t="s">
        <v>84</v>
      </c>
      <c r="C114" s="142">
        <f>+$G$113*C91</f>
        <v>7198474.9906851258</v>
      </c>
      <c r="D114" s="142">
        <f>+$G$113*D91</f>
        <v>6123114.1106103975</v>
      </c>
      <c r="E114" s="142">
        <f>+$G$113*E91</f>
        <v>21332005.097279776</v>
      </c>
      <c r="F114" s="142">
        <f>+$G$113*F91</f>
        <v>5455054.8582786098</v>
      </c>
      <c r="G114" s="142"/>
      <c r="H114" s="141">
        <f>SUM(C114:G114)</f>
        <v>40108649.056853913</v>
      </c>
      <c r="N114" s="275"/>
      <c r="O114" s="275"/>
      <c r="P114" s="275"/>
    </row>
    <row r="115" spans="2:16" x14ac:dyDescent="0.25">
      <c r="B115" s="249" t="s">
        <v>85</v>
      </c>
      <c r="C115" s="252">
        <f>+C113+C114</f>
        <v>12677492.878365148</v>
      </c>
      <c r="D115" s="252">
        <f>+D113+D114</f>
        <v>11628745.408562403</v>
      </c>
      <c r="E115" s="252">
        <f>+E113+E114</f>
        <v>34189105.114469469</v>
      </c>
      <c r="F115" s="252">
        <f>+F113+F114</f>
        <v>13138958.598602992</v>
      </c>
      <c r="G115" s="253"/>
      <c r="H115" s="251">
        <f>SUM(C115:G115)</f>
        <v>71634302.000000015</v>
      </c>
      <c r="N115" s="275"/>
      <c r="O115" s="275"/>
      <c r="P115" s="275"/>
    </row>
    <row r="116" spans="2:16" x14ac:dyDescent="0.25">
      <c r="B116" s="124" t="s">
        <v>86</v>
      </c>
      <c r="C116" s="308">
        <v>2164840</v>
      </c>
      <c r="D116" s="308">
        <v>1919390</v>
      </c>
      <c r="E116" s="308">
        <v>3806712</v>
      </c>
      <c r="F116" s="308">
        <v>770713</v>
      </c>
      <c r="G116" s="308">
        <v>31957345</v>
      </c>
      <c r="H116" s="309">
        <v>40619000</v>
      </c>
      <c r="N116" s="275"/>
      <c r="O116" s="275"/>
      <c r="P116" s="275"/>
    </row>
    <row r="117" spans="2:16" x14ac:dyDescent="0.25">
      <c r="B117" s="123" t="s">
        <v>84</v>
      </c>
      <c r="C117" s="142">
        <f>+$G$116*C91</f>
        <v>5735524.7349545332</v>
      </c>
      <c r="D117" s="142">
        <f>+$G$116*D91</f>
        <v>4878710.0714803655</v>
      </c>
      <c r="E117" s="142">
        <f>+$G$116*E91</f>
        <v>16996689.304324366</v>
      </c>
      <c r="F117" s="142">
        <f>+$G$116*F91</f>
        <v>4346420.889240738</v>
      </c>
      <c r="G117" s="142"/>
      <c r="H117" s="141">
        <f t="shared" ref="H117:H120" si="18">SUM(C117:G117)</f>
        <v>31957345.000000004</v>
      </c>
      <c r="N117" s="275"/>
      <c r="O117" s="275"/>
      <c r="P117" s="275"/>
    </row>
    <row r="118" spans="2:16" x14ac:dyDescent="0.25">
      <c r="B118" s="124" t="s">
        <v>87</v>
      </c>
      <c r="C118" s="246">
        <f>+C116+C117</f>
        <v>7900364.7349545332</v>
      </c>
      <c r="D118" s="246">
        <f>+D116+D117</f>
        <v>6798100.0714803655</v>
      </c>
      <c r="E118" s="246">
        <f>+E116+E117</f>
        <v>20803401.304324366</v>
      </c>
      <c r="F118" s="246">
        <f>+F116+F117</f>
        <v>5117133.889240738</v>
      </c>
      <c r="G118" s="142"/>
      <c r="H118" s="141">
        <f t="shared" si="18"/>
        <v>40619000</v>
      </c>
      <c r="N118" s="275"/>
      <c r="O118" s="275"/>
      <c r="P118" s="275"/>
    </row>
    <row r="119" spans="2:16" x14ac:dyDescent="0.25">
      <c r="B119" s="248" t="s">
        <v>88</v>
      </c>
      <c r="C119" s="246">
        <f>+C115+C118</f>
        <v>20577857.61331968</v>
      </c>
      <c r="D119" s="246">
        <f>+D115+D118</f>
        <v>18426845.480042771</v>
      </c>
      <c r="E119" s="246">
        <f>+E115+E118</f>
        <v>54992506.418793835</v>
      </c>
      <c r="F119" s="246">
        <f>+F115+F118</f>
        <v>18256092.48784373</v>
      </c>
      <c r="G119" s="246"/>
      <c r="H119" s="141">
        <f>SUM(C119:G119)</f>
        <v>112253302</v>
      </c>
      <c r="N119" s="275"/>
      <c r="O119" s="275"/>
      <c r="P119" s="275"/>
    </row>
    <row r="120" spans="2:16" ht="12.75" thickBot="1" x14ac:dyDescent="0.3">
      <c r="B120" s="107" t="s">
        <v>89</v>
      </c>
      <c r="C120" s="108">
        <f>+C119/$H$119</f>
        <v>0.18331627886830162</v>
      </c>
      <c r="D120" s="108">
        <f>+D119/$H$119</f>
        <v>0.16415415094019034</v>
      </c>
      <c r="E120" s="108">
        <f>+E119/$H$119</f>
        <v>0.48989655929046821</v>
      </c>
      <c r="F120" s="108">
        <f>+F119/$H$119</f>
        <v>0.16263301090103996</v>
      </c>
      <c r="G120" s="247"/>
      <c r="H120" s="109">
        <f t="shared" si="18"/>
        <v>1</v>
      </c>
      <c r="N120" s="275"/>
      <c r="O120" s="275"/>
      <c r="P120" s="275"/>
    </row>
    <row r="121" spans="2:16" ht="15.75" x14ac:dyDescent="0.25">
      <c r="B121" s="93"/>
      <c r="C121" s="300"/>
      <c r="D121" s="300"/>
      <c r="E121" s="300"/>
      <c r="F121" s="300"/>
      <c r="G121" s="300"/>
      <c r="H121" s="111"/>
      <c r="N121" s="275"/>
      <c r="O121" s="275"/>
      <c r="P121" s="275"/>
    </row>
    <row r="122" spans="2:16" ht="12.75" thickBot="1" x14ac:dyDescent="0.3">
      <c r="B122" s="93"/>
      <c r="C122" s="110"/>
      <c r="D122" s="110"/>
      <c r="E122" s="110"/>
      <c r="F122" s="110"/>
      <c r="G122" s="93"/>
      <c r="H122" s="111"/>
      <c r="N122" s="275"/>
      <c r="O122" s="275"/>
      <c r="P122" s="275"/>
    </row>
    <row r="123" spans="2:16" ht="36.75" thickBot="1" x14ac:dyDescent="0.3">
      <c r="B123" s="112" t="s">
        <v>1</v>
      </c>
      <c r="C123" s="113" t="s">
        <v>44</v>
      </c>
      <c r="D123" s="96" t="s">
        <v>4</v>
      </c>
      <c r="E123" s="96" t="s">
        <v>5</v>
      </c>
      <c r="F123" s="93"/>
      <c r="G123" s="93"/>
      <c r="H123" s="111"/>
    </row>
    <row r="124" spans="2:16" x14ac:dyDescent="0.25">
      <c r="B124" s="114" t="s">
        <v>90</v>
      </c>
      <c r="C124" s="115">
        <f>C119</f>
        <v>20577857.61331968</v>
      </c>
      <c r="D124" s="115">
        <f>D119</f>
        <v>18426845.480042771</v>
      </c>
      <c r="E124" s="116">
        <f>E119</f>
        <v>54992506.418793835</v>
      </c>
      <c r="F124" s="93"/>
      <c r="G124" s="93"/>
      <c r="H124" s="111"/>
    </row>
    <row r="125" spans="2:16" ht="24" x14ac:dyDescent="0.25">
      <c r="B125" s="117" t="s">
        <v>91</v>
      </c>
      <c r="C125" s="118">
        <f>+'CEV 2026'!C40</f>
        <v>1275735.8633374916</v>
      </c>
      <c r="D125" s="118">
        <f>+'CEV 2026'!D40</f>
        <v>11216878.084954718</v>
      </c>
      <c r="E125" s="118">
        <f>+'CEV 2026'!E40</f>
        <v>5763478.5395515217</v>
      </c>
      <c r="F125" s="93"/>
      <c r="G125" s="110"/>
      <c r="H125" s="111"/>
    </row>
    <row r="126" spans="2:16" ht="12.75" thickBot="1" x14ac:dyDescent="0.3">
      <c r="B126" s="107" t="s">
        <v>92</v>
      </c>
      <c r="C126" s="119">
        <f>C125+C119</f>
        <v>21853593.476657171</v>
      </c>
      <c r="D126" s="119">
        <f>D125+D119</f>
        <v>29643723.564997487</v>
      </c>
      <c r="E126" s="120">
        <f>E125+E119</f>
        <v>60755984.958345354</v>
      </c>
      <c r="F126" s="332"/>
      <c r="G126" s="93"/>
      <c r="H126" s="111"/>
    </row>
    <row r="127" spans="2:16" x14ac:dyDescent="0.25">
      <c r="B127" s="93"/>
      <c r="C127" s="121"/>
      <c r="D127" s="121"/>
      <c r="E127" s="121"/>
      <c r="F127" s="110"/>
      <c r="G127" s="93"/>
      <c r="H127" s="111"/>
    </row>
    <row r="128" spans="2:16" ht="12.75" thickBot="1" x14ac:dyDescent="0.3"/>
    <row r="129" spans="2:8" x14ac:dyDescent="0.25">
      <c r="B129" s="345" t="s">
        <v>93</v>
      </c>
      <c r="C129" s="346"/>
      <c r="D129" s="346"/>
      <c r="E129" s="346"/>
      <c r="F129" s="346"/>
      <c r="G129" s="346"/>
      <c r="H129" s="347"/>
    </row>
    <row r="130" spans="2:8" x14ac:dyDescent="0.25">
      <c r="B130" s="122" t="s">
        <v>1</v>
      </c>
      <c r="C130" s="356" t="s">
        <v>94</v>
      </c>
      <c r="D130" s="357"/>
      <c r="E130" s="357"/>
      <c r="F130" s="357"/>
      <c r="G130" s="357"/>
      <c r="H130" s="358"/>
    </row>
    <row r="131" spans="2:8" x14ac:dyDescent="0.25">
      <c r="B131" s="123" t="s">
        <v>76</v>
      </c>
      <c r="C131" s="354" t="s">
        <v>95</v>
      </c>
      <c r="D131" s="354"/>
      <c r="E131" s="354"/>
      <c r="F131" s="354"/>
      <c r="G131" s="354"/>
      <c r="H131" s="355"/>
    </row>
    <row r="132" spans="2:8" ht="26.25" customHeight="1" x14ac:dyDescent="0.25">
      <c r="B132" s="123" t="s">
        <v>96</v>
      </c>
      <c r="C132" s="348" t="s">
        <v>97</v>
      </c>
      <c r="D132" s="349"/>
      <c r="E132" s="349"/>
      <c r="F132" s="349"/>
      <c r="G132" s="349"/>
      <c r="H132" s="350"/>
    </row>
    <row r="133" spans="2:8" ht="14.25" customHeight="1" x14ac:dyDescent="0.25">
      <c r="B133" s="123" t="s">
        <v>78</v>
      </c>
      <c r="C133" s="351" t="s">
        <v>98</v>
      </c>
      <c r="D133" s="352"/>
      <c r="E133" s="352"/>
      <c r="F133" s="352"/>
      <c r="G133" s="352"/>
      <c r="H133" s="353"/>
    </row>
    <row r="134" spans="2:8" x14ac:dyDescent="0.25">
      <c r="B134" s="123" t="s">
        <v>79</v>
      </c>
      <c r="C134" s="351" t="s">
        <v>99</v>
      </c>
      <c r="D134" s="352"/>
      <c r="E134" s="352"/>
      <c r="F134" s="352"/>
      <c r="G134" s="352"/>
      <c r="H134" s="353"/>
    </row>
    <row r="135" spans="2:8" ht="16.5" customHeight="1" x14ac:dyDescent="0.25">
      <c r="B135" s="123" t="s">
        <v>80</v>
      </c>
      <c r="C135" s="351" t="s">
        <v>99</v>
      </c>
      <c r="D135" s="352"/>
      <c r="E135" s="352"/>
      <c r="F135" s="352"/>
      <c r="G135" s="352"/>
      <c r="H135" s="353"/>
    </row>
    <row r="136" spans="2:8" x14ac:dyDescent="0.25">
      <c r="B136" s="123" t="s">
        <v>81</v>
      </c>
      <c r="C136" s="351" t="s">
        <v>100</v>
      </c>
      <c r="D136" s="352"/>
      <c r="E136" s="352"/>
      <c r="F136" s="352"/>
      <c r="G136" s="352"/>
      <c r="H136" s="353"/>
    </row>
    <row r="137" spans="2:8" ht="44.25" customHeight="1" x14ac:dyDescent="0.25">
      <c r="B137" s="123" t="s">
        <v>82</v>
      </c>
      <c r="C137" s="348" t="s">
        <v>101</v>
      </c>
      <c r="D137" s="349"/>
      <c r="E137" s="349"/>
      <c r="F137" s="349"/>
      <c r="G137" s="349"/>
      <c r="H137" s="350"/>
    </row>
    <row r="138" spans="2:8" ht="30" customHeight="1" x14ac:dyDescent="0.25">
      <c r="B138" s="124" t="s">
        <v>83</v>
      </c>
      <c r="C138" s="348" t="s">
        <v>102</v>
      </c>
      <c r="D138" s="349"/>
      <c r="E138" s="349"/>
      <c r="F138" s="349"/>
      <c r="G138" s="349"/>
      <c r="H138" s="350"/>
    </row>
    <row r="139" spans="2:8" ht="28.5" customHeight="1" x14ac:dyDescent="0.25">
      <c r="B139" s="123" t="s">
        <v>103</v>
      </c>
      <c r="C139" s="348" t="s">
        <v>104</v>
      </c>
      <c r="D139" s="349"/>
      <c r="E139" s="349"/>
      <c r="F139" s="349"/>
      <c r="G139" s="349"/>
      <c r="H139" s="350"/>
    </row>
    <row r="140" spans="2:8" ht="15" customHeight="1" x14ac:dyDescent="0.25">
      <c r="B140" s="125" t="s">
        <v>85</v>
      </c>
      <c r="C140" s="348" t="s">
        <v>105</v>
      </c>
      <c r="D140" s="349"/>
      <c r="E140" s="349"/>
      <c r="F140" s="349"/>
      <c r="G140" s="349"/>
      <c r="H140" s="350"/>
    </row>
    <row r="141" spans="2:8" ht="15" customHeight="1" x14ac:dyDescent="0.25">
      <c r="B141" s="124" t="s">
        <v>106</v>
      </c>
      <c r="C141" s="351" t="s">
        <v>107</v>
      </c>
      <c r="D141" s="352"/>
      <c r="E141" s="352"/>
      <c r="F141" s="352"/>
      <c r="G141" s="352"/>
      <c r="H141" s="353"/>
    </row>
    <row r="142" spans="2:8" ht="30" customHeight="1" x14ac:dyDescent="0.25">
      <c r="B142" s="123" t="s">
        <v>103</v>
      </c>
      <c r="C142" s="348" t="s">
        <v>104</v>
      </c>
      <c r="D142" s="349"/>
      <c r="E142" s="349"/>
      <c r="F142" s="349"/>
      <c r="G142" s="349"/>
      <c r="H142" s="350"/>
    </row>
    <row r="143" spans="2:8" ht="15.75" customHeight="1" x14ac:dyDescent="0.25">
      <c r="B143" s="124" t="s">
        <v>108</v>
      </c>
      <c r="C143" s="348" t="s">
        <v>109</v>
      </c>
      <c r="D143" s="349"/>
      <c r="E143" s="349"/>
      <c r="F143" s="349"/>
      <c r="G143" s="349"/>
      <c r="H143" s="350"/>
    </row>
    <row r="144" spans="2:8" ht="15" customHeight="1" x14ac:dyDescent="0.25">
      <c r="B144" s="103" t="s">
        <v>88</v>
      </c>
      <c r="C144" s="351" t="s">
        <v>110</v>
      </c>
      <c r="D144" s="352"/>
      <c r="E144" s="352"/>
      <c r="F144" s="352"/>
      <c r="G144" s="352"/>
      <c r="H144" s="353"/>
    </row>
    <row r="145" spans="2:8" ht="30" customHeight="1" thickBot="1" x14ac:dyDescent="0.3">
      <c r="B145" s="126" t="s">
        <v>89</v>
      </c>
      <c r="C145" s="359" t="s">
        <v>111</v>
      </c>
      <c r="D145" s="360"/>
      <c r="E145" s="360"/>
      <c r="F145" s="360"/>
      <c r="G145" s="360"/>
      <c r="H145" s="361"/>
    </row>
    <row r="146" spans="2:8" ht="15.75" customHeight="1" x14ac:dyDescent="0.25"/>
    <row r="147" spans="2:8" x14ac:dyDescent="0.25">
      <c r="B147" s="103" t="s">
        <v>88</v>
      </c>
      <c r="C147" s="351" t="s">
        <v>110</v>
      </c>
      <c r="D147" s="352"/>
      <c r="E147" s="352"/>
      <c r="F147" s="352"/>
      <c r="G147" s="352"/>
      <c r="H147" s="353"/>
    </row>
    <row r="148" spans="2:8" ht="30" customHeight="1" thickBot="1" x14ac:dyDescent="0.3">
      <c r="B148" s="126" t="s">
        <v>89</v>
      </c>
      <c r="C148" s="359" t="s">
        <v>111</v>
      </c>
      <c r="D148" s="360"/>
      <c r="E148" s="360"/>
      <c r="F148" s="360"/>
      <c r="G148" s="360"/>
      <c r="H148" s="361"/>
    </row>
  </sheetData>
  <sheetProtection algorithmName="SHA-512" hashValue="SdGlCj527+T3ePc+pvCnFyE0DITKL7DiHsjCF6y02MUT1j2AK5mCrG7Svu2CG6LIhuZvrjhA6X1bbJ1weahx4w==" saltValue="/tzdz/dIv5Flnp0rhzlIxA==" spinCount="100000" sheet="1" objects="1" scenarios="1"/>
  <mergeCells count="34">
    <mergeCell ref="C148:H148"/>
    <mergeCell ref="C142:H142"/>
    <mergeCell ref="C143:H143"/>
    <mergeCell ref="C144:H144"/>
    <mergeCell ref="C145:H145"/>
    <mergeCell ref="C147:H147"/>
    <mergeCell ref="B102:H102"/>
    <mergeCell ref="B104:H104"/>
    <mergeCell ref="B129:H129"/>
    <mergeCell ref="C138:H138"/>
    <mergeCell ref="C141:H141"/>
    <mergeCell ref="C136:H136"/>
    <mergeCell ref="C137:H137"/>
    <mergeCell ref="C139:H139"/>
    <mergeCell ref="C140:H140"/>
    <mergeCell ref="C131:H131"/>
    <mergeCell ref="C132:H132"/>
    <mergeCell ref="C133:H133"/>
    <mergeCell ref="C134:H134"/>
    <mergeCell ref="C135:H135"/>
    <mergeCell ref="C130:H130"/>
    <mergeCell ref="B2:H2"/>
    <mergeCell ref="B3:H3"/>
    <mergeCell ref="B4:B5"/>
    <mergeCell ref="C4:G4"/>
    <mergeCell ref="B43:H43"/>
    <mergeCell ref="B94:H94"/>
    <mergeCell ref="B95:B96"/>
    <mergeCell ref="C95:G95"/>
    <mergeCell ref="B44:H44"/>
    <mergeCell ref="B45:B46"/>
    <mergeCell ref="C45:G45"/>
    <mergeCell ref="B85:H85"/>
    <mergeCell ref="B86:H86"/>
  </mergeCell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41"/>
  <sheetViews>
    <sheetView zoomScale="70" zoomScaleNormal="70" workbookViewId="0">
      <pane ySplit="10" topLeftCell="A19" activePane="bottomLeft" state="frozen"/>
      <selection pane="bottomLeft" activeCell="D21" sqref="D21"/>
    </sheetView>
  </sheetViews>
  <sheetFormatPr baseColWidth="10" defaultColWidth="10.125" defaultRowHeight="14.25" x14ac:dyDescent="0.25"/>
  <cols>
    <col min="1" max="1" width="24.125" style="11" customWidth="1"/>
    <col min="2" max="2" width="27.5" style="11" customWidth="1"/>
    <col min="3" max="3" width="27.125" style="11" bestFit="1" customWidth="1"/>
    <col min="4" max="4" width="71.125" style="22" customWidth="1"/>
    <col min="5" max="5" width="6.125" style="23" customWidth="1"/>
    <col min="6" max="6" width="5.5" style="23" customWidth="1"/>
    <col min="7" max="7" width="5.125" style="23" customWidth="1"/>
    <col min="8" max="8" width="32.5" style="23" bestFit="1" customWidth="1"/>
    <col min="9" max="9" width="49.625" style="23" customWidth="1"/>
    <col min="10" max="10" width="10.125" style="11"/>
    <col min="11" max="11" width="10.125" style="23" customWidth="1"/>
    <col min="12" max="12" width="12.125" style="11" customWidth="1"/>
    <col min="13" max="14" width="10.125" style="11" customWidth="1"/>
    <col min="15" max="18" width="10.125" style="23" customWidth="1"/>
    <col min="19" max="19" width="11.625" style="23" bestFit="1" customWidth="1"/>
    <col min="20" max="24" width="10.125" style="11"/>
    <col min="25" max="25" width="44.5" style="11" customWidth="1"/>
    <col min="26" max="28" width="10" style="11" bestFit="1" customWidth="1"/>
    <col min="29" max="29" width="24.125" style="11" customWidth="1"/>
    <col min="30" max="16384" width="10.125" style="11"/>
  </cols>
  <sheetData>
    <row r="1" spans="1:29" ht="18" x14ac:dyDescent="0.25">
      <c r="A1" s="3" t="s">
        <v>112</v>
      </c>
      <c r="B1" s="1"/>
      <c r="Y1" s="362" t="s">
        <v>113</v>
      </c>
      <c r="Z1" s="363"/>
      <c r="AA1" s="363"/>
      <c r="AB1" s="364"/>
      <c r="AC1" s="1"/>
    </row>
    <row r="2" spans="1:29" ht="15" x14ac:dyDescent="0.25">
      <c r="A2" s="24" t="s">
        <v>114</v>
      </c>
      <c r="B2" s="24"/>
      <c r="Y2" s="27" t="s">
        <v>115</v>
      </c>
      <c r="Z2" s="27" t="s">
        <v>116</v>
      </c>
      <c r="AA2" s="27" t="s">
        <v>117</v>
      </c>
      <c r="AB2" s="27" t="s">
        <v>118</v>
      </c>
      <c r="AC2" s="1"/>
    </row>
    <row r="3" spans="1:29" ht="15" x14ac:dyDescent="0.25">
      <c r="A3" s="4" t="s">
        <v>119</v>
      </c>
      <c r="B3" s="4">
        <f>+SUM(B4:B6)</f>
        <v>671</v>
      </c>
      <c r="C3" s="11" t="s">
        <v>120</v>
      </c>
      <c r="Y3" s="5" t="s">
        <v>121</v>
      </c>
      <c r="Z3" s="26">
        <f>+L39</f>
        <v>630.95664122137407</v>
      </c>
      <c r="AA3" s="26">
        <f t="shared" ref="AA3:AB3" si="0">+M39</f>
        <v>823.68061068702286</v>
      </c>
      <c r="AB3" s="26">
        <f t="shared" si="0"/>
        <v>1237.1331297709926</v>
      </c>
      <c r="AC3" s="1"/>
    </row>
    <row r="4" spans="1:29" ht="15" x14ac:dyDescent="0.25">
      <c r="A4" s="255" t="s">
        <v>121</v>
      </c>
      <c r="B4" s="297">
        <v>3</v>
      </c>
      <c r="C4" s="294"/>
      <c r="Y4" s="7" t="s">
        <v>122</v>
      </c>
      <c r="Z4" s="25">
        <f>+P39</f>
        <v>4293.4400000000005</v>
      </c>
      <c r="AA4" s="25">
        <f t="shared" ref="AA4:AB4" si="1">+Q39</f>
        <v>5006.08</v>
      </c>
      <c r="AB4" s="25">
        <f t="shared" si="1"/>
        <v>6600.6399999999994</v>
      </c>
      <c r="AC4" s="1"/>
    </row>
    <row r="5" spans="1:29" ht="15" x14ac:dyDescent="0.25">
      <c r="A5" s="255" t="s">
        <v>122</v>
      </c>
      <c r="B5" s="297">
        <v>16</v>
      </c>
      <c r="C5" s="295"/>
      <c r="Y5" s="5" t="s">
        <v>123</v>
      </c>
      <c r="Z5" s="5">
        <f>+T39</f>
        <v>97670.8</v>
      </c>
      <c r="AA5" s="5">
        <f t="shared" ref="AA5:AB5" si="2">+U39</f>
        <v>121842.48000000001</v>
      </c>
      <c r="AB5" s="5">
        <f t="shared" si="2"/>
        <v>189320.56000000003</v>
      </c>
    </row>
    <row r="6" spans="1:29" ht="15" x14ac:dyDescent="0.25">
      <c r="A6" s="255" t="s">
        <v>123</v>
      </c>
      <c r="B6" s="297">
        <v>652</v>
      </c>
      <c r="C6" s="296"/>
    </row>
    <row r="7" spans="1:29" ht="15" x14ac:dyDescent="0.25">
      <c r="Y7" s="365" t="s">
        <v>124</v>
      </c>
      <c r="Z7" s="365"/>
      <c r="AA7" s="365"/>
      <c r="AB7" s="365"/>
      <c r="AC7" s="365"/>
    </row>
    <row r="8" spans="1:29" ht="30" x14ac:dyDescent="0.25">
      <c r="A8" s="365" t="s">
        <v>125</v>
      </c>
      <c r="B8" s="365"/>
      <c r="C8" s="365"/>
      <c r="D8" s="365"/>
      <c r="E8" s="365" t="s">
        <v>126</v>
      </c>
      <c r="F8" s="365"/>
      <c r="G8" s="365"/>
      <c r="H8" s="365" t="s">
        <v>127</v>
      </c>
      <c r="I8" s="365"/>
      <c r="J8" s="365"/>
      <c r="K8" s="365"/>
      <c r="L8" s="370" t="s">
        <v>128</v>
      </c>
      <c r="M8" s="371"/>
      <c r="N8" s="371"/>
      <c r="O8" s="371"/>
      <c r="P8" s="371"/>
      <c r="Q8" s="371"/>
      <c r="R8" s="371"/>
      <c r="S8" s="371"/>
      <c r="T8" s="371"/>
      <c r="U8" s="371"/>
      <c r="V8" s="371"/>
      <c r="Y8" s="4" t="s">
        <v>129</v>
      </c>
      <c r="Z8" s="27">
        <f>+SUM(Z3:Z5)</f>
        <v>102595.19664122138</v>
      </c>
      <c r="AA8" s="27">
        <f t="shared" ref="AA8:AB8" si="3">+SUM(AA3:AA5)</f>
        <v>127672.24061068703</v>
      </c>
      <c r="AB8" s="27">
        <f t="shared" si="3"/>
        <v>197158.33312977102</v>
      </c>
      <c r="AC8" s="28" t="s">
        <v>130</v>
      </c>
    </row>
    <row r="9" spans="1:29" ht="16.350000000000001" customHeight="1" x14ac:dyDescent="0.25">
      <c r="A9" s="373" t="s">
        <v>131</v>
      </c>
      <c r="B9" s="375" t="s">
        <v>132</v>
      </c>
      <c r="C9" s="376"/>
      <c r="D9" s="373" t="s">
        <v>133</v>
      </c>
      <c r="E9" s="374" t="s">
        <v>134</v>
      </c>
      <c r="F9" s="374"/>
      <c r="G9" s="374"/>
      <c r="H9" s="366" t="s">
        <v>135</v>
      </c>
      <c r="I9" s="367"/>
      <c r="J9" s="368"/>
      <c r="K9" s="369" t="s">
        <v>136</v>
      </c>
      <c r="L9" s="369"/>
      <c r="M9" s="369"/>
      <c r="N9" s="369"/>
      <c r="O9" s="369" t="s">
        <v>137</v>
      </c>
      <c r="P9" s="369"/>
      <c r="Q9" s="369"/>
      <c r="R9" s="369"/>
      <c r="S9" s="369" t="s">
        <v>138</v>
      </c>
      <c r="T9" s="369"/>
      <c r="U9" s="369"/>
      <c r="V9" s="369"/>
      <c r="Y9" s="7" t="s">
        <v>139</v>
      </c>
      <c r="Z9" s="42">
        <f>+Z3/Z8</f>
        <v>6.1499627845916531E-3</v>
      </c>
      <c r="AA9" s="42">
        <f>+AA3/AA8</f>
        <v>6.4515246755846092E-3</v>
      </c>
      <c r="AB9" s="42">
        <f>+AB3/AB8</f>
        <v>6.2748203950208012E-3</v>
      </c>
      <c r="AC9" s="30">
        <f>+AVERAGE(Z9:AB9)</f>
        <v>6.2921026183990212E-3</v>
      </c>
    </row>
    <row r="10" spans="1:29" s="12" customFormat="1" ht="30" x14ac:dyDescent="0.2">
      <c r="A10" s="374"/>
      <c r="B10" s="377"/>
      <c r="C10" s="378"/>
      <c r="D10" s="374"/>
      <c r="E10" s="27" t="s">
        <v>140</v>
      </c>
      <c r="F10" s="27" t="s">
        <v>117</v>
      </c>
      <c r="G10" s="27" t="s">
        <v>118</v>
      </c>
      <c r="H10" s="372" t="s">
        <v>141</v>
      </c>
      <c r="I10" s="372"/>
      <c r="J10" s="27" t="s">
        <v>142</v>
      </c>
      <c r="K10" s="28" t="s">
        <v>143</v>
      </c>
      <c r="L10" s="27" t="s">
        <v>116</v>
      </c>
      <c r="M10" s="27" t="s">
        <v>117</v>
      </c>
      <c r="N10" s="27" t="s">
        <v>118</v>
      </c>
      <c r="O10" s="28" t="s">
        <v>143</v>
      </c>
      <c r="P10" s="27" t="s">
        <v>116</v>
      </c>
      <c r="Q10" s="27" t="s">
        <v>117</v>
      </c>
      <c r="R10" s="27" t="s">
        <v>118</v>
      </c>
      <c r="S10" s="28" t="s">
        <v>143</v>
      </c>
      <c r="T10" s="27" t="s">
        <v>116</v>
      </c>
      <c r="U10" s="27" t="s">
        <v>117</v>
      </c>
      <c r="V10" s="27" t="s">
        <v>118</v>
      </c>
      <c r="Y10" s="7" t="s">
        <v>144</v>
      </c>
      <c r="Z10" s="42">
        <f>+Z4/Z8</f>
        <v>4.184835294983931E-2</v>
      </c>
      <c r="AA10" s="42">
        <f>+AA4/AA8</f>
        <v>3.9210402950983825E-2</v>
      </c>
      <c r="AB10" s="42">
        <f>+AB4/AB8</f>
        <v>3.3478879108069001E-2</v>
      </c>
      <c r="AC10" s="30">
        <f>+AVERAGE(Z10:AB10)</f>
        <v>3.817921166963071E-2</v>
      </c>
    </row>
    <row r="11" spans="1:29" ht="28.5" x14ac:dyDescent="0.2">
      <c r="A11" s="385" t="s">
        <v>145</v>
      </c>
      <c r="B11" s="386" t="s">
        <v>146</v>
      </c>
      <c r="C11" s="386"/>
      <c r="D11" s="15" t="s">
        <v>147</v>
      </c>
      <c r="E11" s="26">
        <v>2</v>
      </c>
      <c r="F11" s="26">
        <v>3</v>
      </c>
      <c r="G11" s="26">
        <v>5</v>
      </c>
      <c r="H11" s="26" t="s">
        <v>148</v>
      </c>
      <c r="I11" s="26" t="s">
        <v>149</v>
      </c>
      <c r="J11" s="5"/>
      <c r="K11" s="50">
        <f>13*(B4/(B4+B6))</f>
        <v>5.9541984732824432E-2</v>
      </c>
      <c r="L11" s="5">
        <f>+$K11*E11</f>
        <v>0.11908396946564886</v>
      </c>
      <c r="M11" s="5">
        <f>+$K11*F11</f>
        <v>0.1786259541984733</v>
      </c>
      <c r="N11" s="5">
        <f t="shared" ref="L11:N13" si="4">+$K11*G11</f>
        <v>0.29770992366412219</v>
      </c>
      <c r="O11" s="31">
        <v>0</v>
      </c>
      <c r="P11" s="36">
        <f>+$O11*E11</f>
        <v>0</v>
      </c>
      <c r="Q11" s="36">
        <f t="shared" ref="Q11:R14" si="5">+$O11*F11</f>
        <v>0</v>
      </c>
      <c r="R11" s="36">
        <f t="shared" si="5"/>
        <v>0</v>
      </c>
      <c r="S11" s="31">
        <v>49</v>
      </c>
      <c r="T11" s="34">
        <f>+$S11*E11</f>
        <v>98</v>
      </c>
      <c r="U11" s="34">
        <f t="shared" ref="U11:V14" si="6">+$S11*F11</f>
        <v>147</v>
      </c>
      <c r="V11" s="34">
        <f t="shared" si="6"/>
        <v>245</v>
      </c>
      <c r="Y11" s="7" t="s">
        <v>150</v>
      </c>
      <c r="Z11" s="43">
        <f>+Z5/Z8</f>
        <v>0.95200168426556897</v>
      </c>
      <c r="AA11" s="43">
        <f t="shared" ref="AA11:AB11" si="7">+AA5/AA8</f>
        <v>0.9543380723734316</v>
      </c>
      <c r="AB11" s="43">
        <f t="shared" si="7"/>
        <v>0.96024630049691018</v>
      </c>
      <c r="AC11" s="30">
        <f>+AVERAGE(Z11:AB11)</f>
        <v>0.95552868571197036</v>
      </c>
    </row>
    <row r="12" spans="1:29" ht="28.5" x14ac:dyDescent="0.2">
      <c r="A12" s="385"/>
      <c r="B12" s="386"/>
      <c r="C12" s="386"/>
      <c r="D12" s="15" t="s">
        <v>151</v>
      </c>
      <c r="E12" s="26">
        <v>2</v>
      </c>
      <c r="F12" s="26">
        <v>3</v>
      </c>
      <c r="G12" s="26">
        <v>5</v>
      </c>
      <c r="H12" s="26" t="s">
        <v>148</v>
      </c>
      <c r="I12" s="26" t="s">
        <v>152</v>
      </c>
      <c r="J12" s="5"/>
      <c r="K12" s="278">
        <f>+$B$4</f>
        <v>3</v>
      </c>
      <c r="L12" s="5">
        <f t="shared" si="4"/>
        <v>6</v>
      </c>
      <c r="M12" s="5">
        <f t="shared" si="4"/>
        <v>9</v>
      </c>
      <c r="N12" s="5">
        <f t="shared" si="4"/>
        <v>15</v>
      </c>
      <c r="O12" s="31">
        <v>0</v>
      </c>
      <c r="P12" s="36">
        <f t="shared" ref="P12:P14" si="8">+$O12*E12</f>
        <v>0</v>
      </c>
      <c r="Q12" s="36">
        <f t="shared" si="5"/>
        <v>0</v>
      </c>
      <c r="R12" s="36">
        <f t="shared" si="5"/>
        <v>0</v>
      </c>
      <c r="S12" s="31">
        <v>89</v>
      </c>
      <c r="T12" s="34">
        <f>+$S12*E12</f>
        <v>178</v>
      </c>
      <c r="U12" s="34">
        <f t="shared" si="6"/>
        <v>267</v>
      </c>
      <c r="V12" s="34">
        <f t="shared" si="6"/>
        <v>445</v>
      </c>
    </row>
    <row r="13" spans="1:29" x14ac:dyDescent="0.25">
      <c r="A13" s="385"/>
      <c r="B13" s="386"/>
      <c r="C13" s="386"/>
      <c r="D13" s="15" t="s">
        <v>153</v>
      </c>
      <c r="E13" s="26">
        <v>2</v>
      </c>
      <c r="F13" s="26">
        <v>3</v>
      </c>
      <c r="G13" s="26">
        <v>4</v>
      </c>
      <c r="H13" s="26" t="s">
        <v>148</v>
      </c>
      <c r="I13" s="26" t="s">
        <v>154</v>
      </c>
      <c r="J13" s="20">
        <v>0.6</v>
      </c>
      <c r="K13" s="31">
        <f>+($J$13*$K$11)+($J$13*$K$12)</f>
        <v>1.8357251908396945</v>
      </c>
      <c r="L13" s="5">
        <f t="shared" si="4"/>
        <v>3.6714503816793891</v>
      </c>
      <c r="M13" s="5">
        <f t="shared" si="4"/>
        <v>5.5071755725190839</v>
      </c>
      <c r="N13" s="5">
        <f t="shared" si="4"/>
        <v>7.3429007633587782</v>
      </c>
      <c r="O13" s="31">
        <v>0</v>
      </c>
      <c r="P13" s="36">
        <f t="shared" si="8"/>
        <v>0</v>
      </c>
      <c r="Q13" s="36">
        <f t="shared" si="5"/>
        <v>0</v>
      </c>
      <c r="R13" s="36">
        <f t="shared" si="5"/>
        <v>0</v>
      </c>
      <c r="S13" s="31">
        <f>+($J$13*$S$11)+($J$13*$S$12)</f>
        <v>82.8</v>
      </c>
      <c r="T13" s="34">
        <f t="shared" ref="T13:T14" si="9">+$S13*E13</f>
        <v>165.6</v>
      </c>
      <c r="U13" s="34">
        <f t="shared" si="6"/>
        <v>248.39999999999998</v>
      </c>
      <c r="V13" s="34">
        <f t="shared" si="6"/>
        <v>331.2</v>
      </c>
    </row>
    <row r="14" spans="1:29" x14ac:dyDescent="0.25">
      <c r="A14" s="385"/>
      <c r="B14" s="386"/>
      <c r="C14" s="386"/>
      <c r="D14" s="15" t="s">
        <v>155</v>
      </c>
      <c r="E14" s="26">
        <v>36</v>
      </c>
      <c r="F14" s="26">
        <v>48</v>
      </c>
      <c r="G14" s="26">
        <v>100</v>
      </c>
      <c r="H14" s="26" t="s">
        <v>156</v>
      </c>
      <c r="I14" s="26" t="s">
        <v>154</v>
      </c>
      <c r="J14" s="20">
        <v>0.6</v>
      </c>
      <c r="K14" s="31">
        <f>+($J$13*$K$11)+($J$13*$K$12)</f>
        <v>1.8357251908396945</v>
      </c>
      <c r="L14" s="5">
        <f>+$K14*E14</f>
        <v>66.086106870229003</v>
      </c>
      <c r="M14" s="5">
        <f t="shared" ref="M14" si="10">+$K14*F14</f>
        <v>88.114809160305342</v>
      </c>
      <c r="N14" s="5">
        <f>+$K14*G14</f>
        <v>183.57251908396947</v>
      </c>
      <c r="O14" s="31">
        <v>0</v>
      </c>
      <c r="P14" s="36">
        <f t="shared" si="8"/>
        <v>0</v>
      </c>
      <c r="Q14" s="36">
        <f t="shared" si="5"/>
        <v>0</v>
      </c>
      <c r="R14" s="36">
        <f>+$O14*G14</f>
        <v>0</v>
      </c>
      <c r="S14" s="31">
        <f>+($J$13*$S$11)+($J$13*$S$12)</f>
        <v>82.8</v>
      </c>
      <c r="T14" s="34">
        <f t="shared" si="9"/>
        <v>2980.7999999999997</v>
      </c>
      <c r="U14" s="34">
        <f t="shared" si="6"/>
        <v>3974.3999999999996</v>
      </c>
      <c r="V14" s="34">
        <f>+$S14*G14</f>
        <v>8280</v>
      </c>
    </row>
    <row r="15" spans="1:29" x14ac:dyDescent="0.25">
      <c r="A15" s="385"/>
      <c r="B15" s="387" t="s">
        <v>157</v>
      </c>
      <c r="C15" s="387"/>
      <c r="D15" s="35" t="s">
        <v>158</v>
      </c>
      <c r="E15" s="36">
        <v>1200</v>
      </c>
      <c r="F15" s="36">
        <v>1400</v>
      </c>
      <c r="G15" s="36">
        <v>1800</v>
      </c>
      <c r="H15" s="36" t="s">
        <v>159</v>
      </c>
      <c r="I15" s="36"/>
      <c r="J15" s="33"/>
      <c r="K15" s="31">
        <v>0</v>
      </c>
      <c r="L15" s="5">
        <f>+K15*E15</f>
        <v>0</v>
      </c>
      <c r="M15" s="5">
        <f>+L15*F15</f>
        <v>0</v>
      </c>
      <c r="N15" s="5">
        <f t="shared" ref="M15:N21" si="11">+M15*G15</f>
        <v>0</v>
      </c>
      <c r="O15" s="31"/>
      <c r="P15" s="36">
        <f>+E$15</f>
        <v>1200</v>
      </c>
      <c r="Q15" s="36">
        <f>+F$15</f>
        <v>1400</v>
      </c>
      <c r="R15" s="36">
        <f>+G$15</f>
        <v>1800</v>
      </c>
      <c r="S15" s="31"/>
      <c r="T15" s="37">
        <f>+E15</f>
        <v>1200</v>
      </c>
      <c r="U15" s="37">
        <f t="shared" ref="U15:V15" si="12">+F15</f>
        <v>1400</v>
      </c>
      <c r="V15" s="37">
        <f t="shared" si="12"/>
        <v>1800</v>
      </c>
    </row>
    <row r="16" spans="1:29" x14ac:dyDescent="0.25">
      <c r="A16" s="385"/>
      <c r="B16" s="387"/>
      <c r="C16" s="387"/>
      <c r="D16" s="35" t="s">
        <v>160</v>
      </c>
      <c r="E16" s="36">
        <v>3</v>
      </c>
      <c r="F16" s="36">
        <v>5</v>
      </c>
      <c r="G16" s="36">
        <v>6</v>
      </c>
      <c r="H16" s="36" t="s">
        <v>156</v>
      </c>
      <c r="I16" s="36" t="s">
        <v>161</v>
      </c>
      <c r="J16" s="38">
        <v>0.3</v>
      </c>
      <c r="K16" s="31">
        <v>0</v>
      </c>
      <c r="L16" s="5">
        <f t="shared" ref="L16:L21" si="13">+K16*E16</f>
        <v>0</v>
      </c>
      <c r="M16" s="5">
        <f t="shared" si="11"/>
        <v>0</v>
      </c>
      <c r="N16" s="5">
        <f t="shared" si="11"/>
        <v>0</v>
      </c>
      <c r="O16" s="31">
        <f>+$B$5*$J$16</f>
        <v>4.8</v>
      </c>
      <c r="P16" s="36">
        <f>+$O16*E16</f>
        <v>14.399999999999999</v>
      </c>
      <c r="Q16" s="36">
        <f t="shared" ref="P16:R21" si="14">+$O16*F16</f>
        <v>24</v>
      </c>
      <c r="R16" s="36">
        <f t="shared" si="14"/>
        <v>28.799999999999997</v>
      </c>
      <c r="S16" s="31">
        <f>+$B$6*$J$16</f>
        <v>195.6</v>
      </c>
      <c r="T16" s="37">
        <f>$S16*E16</f>
        <v>586.79999999999995</v>
      </c>
      <c r="U16" s="37">
        <f t="shared" ref="U16:V21" si="15">$S16*F16</f>
        <v>978</v>
      </c>
      <c r="V16" s="37">
        <f t="shared" si="15"/>
        <v>1173.5999999999999</v>
      </c>
    </row>
    <row r="17" spans="1:22" x14ac:dyDescent="0.25">
      <c r="A17" s="385"/>
      <c r="B17" s="387"/>
      <c r="C17" s="387"/>
      <c r="D17" s="35" t="s">
        <v>162</v>
      </c>
      <c r="E17" s="36">
        <v>180</v>
      </c>
      <c r="F17" s="36">
        <v>200</v>
      </c>
      <c r="G17" s="36">
        <v>220</v>
      </c>
      <c r="H17" s="36" t="s">
        <v>156</v>
      </c>
      <c r="I17" s="36" t="s">
        <v>163</v>
      </c>
      <c r="J17" s="38"/>
      <c r="K17" s="31">
        <v>0</v>
      </c>
      <c r="L17" s="5">
        <f>+K17*E17</f>
        <v>0</v>
      </c>
      <c r="M17" s="5">
        <f t="shared" si="11"/>
        <v>0</v>
      </c>
      <c r="N17" s="5">
        <f t="shared" si="11"/>
        <v>0</v>
      </c>
      <c r="O17" s="31">
        <v>8</v>
      </c>
      <c r="P17" s="36">
        <f t="shared" si="14"/>
        <v>1440</v>
      </c>
      <c r="Q17" s="36">
        <f t="shared" si="14"/>
        <v>1600</v>
      </c>
      <c r="R17" s="36">
        <f t="shared" si="14"/>
        <v>1760</v>
      </c>
      <c r="S17" s="31">
        <v>8</v>
      </c>
      <c r="T17" s="37">
        <f t="shared" ref="T17:T21" si="16">$S17*E17</f>
        <v>1440</v>
      </c>
      <c r="U17" s="37">
        <f t="shared" si="15"/>
        <v>1600</v>
      </c>
      <c r="V17" s="37">
        <f t="shared" si="15"/>
        <v>1760</v>
      </c>
    </row>
    <row r="18" spans="1:22" ht="28.5" x14ac:dyDescent="0.25">
      <c r="A18" s="385"/>
      <c r="B18" s="387"/>
      <c r="C18" s="387"/>
      <c r="D18" s="35" t="s">
        <v>164</v>
      </c>
      <c r="E18" s="36">
        <v>220</v>
      </c>
      <c r="F18" s="36">
        <v>260</v>
      </c>
      <c r="G18" s="36">
        <v>400</v>
      </c>
      <c r="H18" s="36" t="s">
        <v>156</v>
      </c>
      <c r="I18" s="36"/>
      <c r="J18" s="38">
        <v>0.2</v>
      </c>
      <c r="K18" s="31">
        <v>0</v>
      </c>
      <c r="L18" s="5">
        <f t="shared" si="13"/>
        <v>0</v>
      </c>
      <c r="M18" s="5">
        <f t="shared" si="11"/>
        <v>0</v>
      </c>
      <c r="N18" s="5">
        <f t="shared" si="11"/>
        <v>0</v>
      </c>
      <c r="O18" s="31">
        <f>+$B$5*$J$18</f>
        <v>3.2</v>
      </c>
      <c r="P18" s="36">
        <f t="shared" si="14"/>
        <v>704</v>
      </c>
      <c r="Q18" s="36">
        <f t="shared" si="14"/>
        <v>832</v>
      </c>
      <c r="R18" s="36">
        <f t="shared" si="14"/>
        <v>1280</v>
      </c>
      <c r="S18" s="31">
        <f>+$B$6*$J$18</f>
        <v>130.4</v>
      </c>
      <c r="T18" s="37">
        <f t="shared" si="16"/>
        <v>28688</v>
      </c>
      <c r="U18" s="37">
        <f t="shared" si="15"/>
        <v>33904</v>
      </c>
      <c r="V18" s="37">
        <f t="shared" si="15"/>
        <v>52160</v>
      </c>
    </row>
    <row r="19" spans="1:22" x14ac:dyDescent="0.25">
      <c r="A19" s="385"/>
      <c r="B19" s="387"/>
      <c r="C19" s="387"/>
      <c r="D19" s="35" t="s">
        <v>165</v>
      </c>
      <c r="E19" s="36">
        <v>220</v>
      </c>
      <c r="F19" s="36">
        <v>260</v>
      </c>
      <c r="G19" s="36">
        <v>400</v>
      </c>
      <c r="H19" s="36" t="s">
        <v>156</v>
      </c>
      <c r="I19" s="36"/>
      <c r="J19" s="38">
        <v>0.2</v>
      </c>
      <c r="K19" s="31">
        <v>0</v>
      </c>
      <c r="L19" s="5">
        <f t="shared" si="13"/>
        <v>0</v>
      </c>
      <c r="M19" s="5">
        <f t="shared" si="11"/>
        <v>0</v>
      </c>
      <c r="N19" s="5">
        <f t="shared" si="11"/>
        <v>0</v>
      </c>
      <c r="O19" s="31">
        <f>+$B$5*$J$19</f>
        <v>3.2</v>
      </c>
      <c r="P19" s="36">
        <f t="shared" si="14"/>
        <v>704</v>
      </c>
      <c r="Q19" s="36">
        <f t="shared" si="14"/>
        <v>832</v>
      </c>
      <c r="R19" s="36">
        <f t="shared" si="14"/>
        <v>1280</v>
      </c>
      <c r="S19" s="31">
        <f>+$B$6*$J$19</f>
        <v>130.4</v>
      </c>
      <c r="T19" s="37">
        <f t="shared" si="16"/>
        <v>28688</v>
      </c>
      <c r="U19" s="37">
        <f t="shared" si="15"/>
        <v>33904</v>
      </c>
      <c r="V19" s="37">
        <f t="shared" si="15"/>
        <v>52160</v>
      </c>
    </row>
    <row r="20" spans="1:22" ht="28.5" x14ac:dyDescent="0.25">
      <c r="A20" s="385"/>
      <c r="B20" s="387"/>
      <c r="C20" s="387"/>
      <c r="D20" s="35" t="s">
        <v>166</v>
      </c>
      <c r="E20" s="36">
        <v>4</v>
      </c>
      <c r="F20" s="36">
        <v>8</v>
      </c>
      <c r="G20" s="36">
        <v>12</v>
      </c>
      <c r="H20" s="36" t="s">
        <v>156</v>
      </c>
      <c r="I20" s="36"/>
      <c r="J20" s="38">
        <v>0.2</v>
      </c>
      <c r="K20" s="31">
        <v>0</v>
      </c>
      <c r="L20" s="5">
        <f t="shared" si="13"/>
        <v>0</v>
      </c>
      <c r="M20" s="5">
        <f t="shared" si="11"/>
        <v>0</v>
      </c>
      <c r="N20" s="5">
        <f t="shared" si="11"/>
        <v>0</v>
      </c>
      <c r="O20" s="31">
        <f>+$B$5*$J$20</f>
        <v>3.2</v>
      </c>
      <c r="P20" s="36">
        <f t="shared" si="14"/>
        <v>12.8</v>
      </c>
      <c r="Q20" s="36">
        <f t="shared" si="14"/>
        <v>25.6</v>
      </c>
      <c r="R20" s="36">
        <f t="shared" si="14"/>
        <v>38.400000000000006</v>
      </c>
      <c r="S20" s="31">
        <f>+$B$6*$J$20</f>
        <v>130.4</v>
      </c>
      <c r="T20" s="37">
        <f t="shared" si="16"/>
        <v>521.6</v>
      </c>
      <c r="U20" s="37">
        <f t="shared" si="15"/>
        <v>1043.2</v>
      </c>
      <c r="V20" s="37">
        <f t="shared" si="15"/>
        <v>1564.8000000000002</v>
      </c>
    </row>
    <row r="21" spans="1:22" ht="28.5" x14ac:dyDescent="0.25">
      <c r="A21" s="385"/>
      <c r="B21" s="387"/>
      <c r="C21" s="387"/>
      <c r="D21" s="35" t="s">
        <v>167</v>
      </c>
      <c r="E21" s="36">
        <v>4</v>
      </c>
      <c r="F21" s="36">
        <v>8</v>
      </c>
      <c r="G21" s="36">
        <v>12</v>
      </c>
      <c r="H21" s="36" t="s">
        <v>156</v>
      </c>
      <c r="I21" s="36"/>
      <c r="J21" s="38">
        <v>0.2</v>
      </c>
      <c r="K21" s="31">
        <v>0</v>
      </c>
      <c r="L21" s="5">
        <f t="shared" si="13"/>
        <v>0</v>
      </c>
      <c r="M21" s="5">
        <f t="shared" si="11"/>
        <v>0</v>
      </c>
      <c r="N21" s="5">
        <f t="shared" si="11"/>
        <v>0</v>
      </c>
      <c r="O21" s="31">
        <f>+$B$5*$J$21</f>
        <v>3.2</v>
      </c>
      <c r="P21" s="36">
        <f>+$O21*E21</f>
        <v>12.8</v>
      </c>
      <c r="Q21" s="36">
        <f t="shared" si="14"/>
        <v>25.6</v>
      </c>
      <c r="R21" s="36">
        <f t="shared" si="14"/>
        <v>38.400000000000006</v>
      </c>
      <c r="S21" s="31">
        <f>+$B$6*$J$21</f>
        <v>130.4</v>
      </c>
      <c r="T21" s="37">
        <f t="shared" si="16"/>
        <v>521.6</v>
      </c>
      <c r="U21" s="37">
        <f t="shared" si="15"/>
        <v>1043.2</v>
      </c>
      <c r="V21" s="37">
        <f t="shared" si="15"/>
        <v>1564.8000000000002</v>
      </c>
    </row>
    <row r="22" spans="1:22" ht="28.5" x14ac:dyDescent="0.25">
      <c r="A22" s="385"/>
      <c r="B22" s="388" t="s">
        <v>168</v>
      </c>
      <c r="C22" s="388"/>
      <c r="D22" s="15" t="s">
        <v>169</v>
      </c>
      <c r="E22" s="26">
        <v>100</v>
      </c>
      <c r="F22" s="26">
        <v>120</v>
      </c>
      <c r="G22" s="26">
        <v>200</v>
      </c>
      <c r="H22" s="26" t="s">
        <v>170</v>
      </c>
      <c r="I22" s="26" t="s">
        <v>171</v>
      </c>
      <c r="J22" s="5"/>
      <c r="K22" s="31">
        <v>1</v>
      </c>
      <c r="L22" s="5">
        <f>+$K22*E22</f>
        <v>100</v>
      </c>
      <c r="M22" s="5">
        <f t="shared" ref="M22:N31" si="17">+$K22*F22</f>
        <v>120</v>
      </c>
      <c r="N22" s="5">
        <f t="shared" si="17"/>
        <v>200</v>
      </c>
      <c r="O22" s="31">
        <v>0</v>
      </c>
      <c r="P22" s="36">
        <f>+$O22*E22</f>
        <v>0</v>
      </c>
      <c r="Q22" s="36">
        <f t="shared" ref="Q22:Q34" si="18">+$O22*F22</f>
        <v>0</v>
      </c>
      <c r="R22" s="36">
        <f t="shared" ref="R22:R34" si="19">+$O22*G22</f>
        <v>0</v>
      </c>
      <c r="S22" s="31">
        <v>55</v>
      </c>
      <c r="T22" s="34">
        <f>+$S22*E22</f>
        <v>5500</v>
      </c>
      <c r="U22" s="34">
        <f t="shared" ref="U22:V27" si="20">+$S22*F22</f>
        <v>6600</v>
      </c>
      <c r="V22" s="34">
        <f t="shared" si="20"/>
        <v>11000</v>
      </c>
    </row>
    <row r="23" spans="1:22" ht="28.5" x14ac:dyDescent="0.25">
      <c r="A23" s="385"/>
      <c r="B23" s="388"/>
      <c r="C23" s="388"/>
      <c r="D23" s="15" t="s">
        <v>172</v>
      </c>
      <c r="E23" s="26">
        <v>100</v>
      </c>
      <c r="F23" s="26">
        <v>120</v>
      </c>
      <c r="G23" s="26">
        <v>200</v>
      </c>
      <c r="H23" s="26" t="s">
        <v>170</v>
      </c>
      <c r="I23" s="26" t="s">
        <v>171</v>
      </c>
      <c r="J23" s="5"/>
      <c r="K23" s="31">
        <v>1</v>
      </c>
      <c r="L23" s="5">
        <f t="shared" ref="L23:L25" si="21">+$K23*E23</f>
        <v>100</v>
      </c>
      <c r="M23" s="5">
        <f t="shared" si="17"/>
        <v>120</v>
      </c>
      <c r="N23" s="5">
        <f t="shared" si="17"/>
        <v>200</v>
      </c>
      <c r="O23" s="31">
        <v>0</v>
      </c>
      <c r="P23" s="36">
        <f t="shared" ref="P23:P34" si="22">+$O23*E23</f>
        <v>0</v>
      </c>
      <c r="Q23" s="36">
        <f t="shared" si="18"/>
        <v>0</v>
      </c>
      <c r="R23" s="36">
        <f t="shared" si="19"/>
        <v>0</v>
      </c>
      <c r="S23" s="31">
        <v>55</v>
      </c>
      <c r="T23" s="34">
        <f t="shared" ref="T23:T27" si="23">+$S23*E23</f>
        <v>5500</v>
      </c>
      <c r="U23" s="34">
        <f t="shared" si="20"/>
        <v>6600</v>
      </c>
      <c r="V23" s="34">
        <f t="shared" si="20"/>
        <v>11000</v>
      </c>
    </row>
    <row r="24" spans="1:22" ht="42.75" x14ac:dyDescent="0.25">
      <c r="A24" s="385"/>
      <c r="B24" s="388"/>
      <c r="C24" s="388"/>
      <c r="D24" s="15" t="s">
        <v>173</v>
      </c>
      <c r="E24" s="26">
        <v>30</v>
      </c>
      <c r="F24" s="26">
        <v>40</v>
      </c>
      <c r="G24" s="26">
        <v>50</v>
      </c>
      <c r="H24" s="69" t="s">
        <v>170</v>
      </c>
      <c r="I24" s="69" t="s">
        <v>174</v>
      </c>
      <c r="J24" s="5"/>
      <c r="K24" s="31">
        <v>1</v>
      </c>
      <c r="L24" s="5">
        <f t="shared" si="21"/>
        <v>30</v>
      </c>
      <c r="M24" s="5">
        <f t="shared" si="17"/>
        <v>40</v>
      </c>
      <c r="N24" s="5">
        <f t="shared" si="17"/>
        <v>50</v>
      </c>
      <c r="O24" s="31">
        <v>0</v>
      </c>
      <c r="P24" s="36">
        <f t="shared" si="22"/>
        <v>0</v>
      </c>
      <c r="Q24" s="36">
        <f t="shared" si="18"/>
        <v>0</v>
      </c>
      <c r="R24" s="36">
        <f>+$O24*G24</f>
        <v>0</v>
      </c>
      <c r="S24" s="31">
        <v>9</v>
      </c>
      <c r="T24" s="34">
        <f t="shared" si="23"/>
        <v>270</v>
      </c>
      <c r="U24" s="34">
        <f t="shared" si="20"/>
        <v>360</v>
      </c>
      <c r="V24" s="34">
        <f t="shared" si="20"/>
        <v>450</v>
      </c>
    </row>
    <row r="25" spans="1:22" ht="42.75" x14ac:dyDescent="0.25">
      <c r="A25" s="385"/>
      <c r="B25" s="388"/>
      <c r="C25" s="388"/>
      <c r="D25" s="68" t="s">
        <v>175</v>
      </c>
      <c r="E25" s="69">
        <v>30</v>
      </c>
      <c r="F25" s="69">
        <v>40</v>
      </c>
      <c r="G25" s="69">
        <v>50</v>
      </c>
      <c r="H25" s="69" t="s">
        <v>170</v>
      </c>
      <c r="I25" s="69" t="s">
        <v>176</v>
      </c>
      <c r="J25" s="5"/>
      <c r="K25" s="31">
        <v>1</v>
      </c>
      <c r="L25" s="5">
        <f t="shared" si="21"/>
        <v>30</v>
      </c>
      <c r="M25" s="5">
        <f>+$K25*F25</f>
        <v>40</v>
      </c>
      <c r="N25" s="5">
        <f>+$K25*G25</f>
        <v>50</v>
      </c>
      <c r="O25" s="31">
        <v>0</v>
      </c>
      <c r="P25" s="36">
        <f t="shared" si="22"/>
        <v>0</v>
      </c>
      <c r="Q25" s="36">
        <f t="shared" si="18"/>
        <v>0</v>
      </c>
      <c r="R25" s="36">
        <f t="shared" si="19"/>
        <v>0</v>
      </c>
      <c r="S25" s="31">
        <v>9</v>
      </c>
      <c r="T25" s="34">
        <f t="shared" si="23"/>
        <v>270</v>
      </c>
      <c r="U25" s="34">
        <f t="shared" si="20"/>
        <v>360</v>
      </c>
      <c r="V25" s="34">
        <f t="shared" si="20"/>
        <v>450</v>
      </c>
    </row>
    <row r="26" spans="1:22" x14ac:dyDescent="0.25">
      <c r="A26" s="385"/>
      <c r="B26" s="388"/>
      <c r="C26" s="388"/>
      <c r="D26" s="68" t="s">
        <v>177</v>
      </c>
      <c r="E26" s="69">
        <v>120</v>
      </c>
      <c r="F26" s="69">
        <v>160</v>
      </c>
      <c r="G26" s="69">
        <v>200</v>
      </c>
      <c r="H26" s="69" t="s">
        <v>178</v>
      </c>
      <c r="I26" s="69" t="s">
        <v>179</v>
      </c>
      <c r="J26" s="5"/>
      <c r="K26" s="31">
        <v>1</v>
      </c>
      <c r="L26" s="5">
        <f>+$K26*E26</f>
        <v>120</v>
      </c>
      <c r="M26" s="5">
        <f t="shared" ref="M26:N34" si="24">+$K26*F26</f>
        <v>160</v>
      </c>
      <c r="N26" s="5">
        <f t="shared" si="17"/>
        <v>200</v>
      </c>
      <c r="O26" s="31">
        <v>0</v>
      </c>
      <c r="P26" s="36">
        <f t="shared" si="22"/>
        <v>0</v>
      </c>
      <c r="Q26" s="36">
        <f t="shared" si="18"/>
        <v>0</v>
      </c>
      <c r="R26" s="36">
        <f t="shared" si="19"/>
        <v>0</v>
      </c>
      <c r="S26" s="31">
        <v>3</v>
      </c>
      <c r="T26" s="34">
        <f t="shared" si="23"/>
        <v>360</v>
      </c>
      <c r="U26" s="34">
        <f t="shared" si="20"/>
        <v>480</v>
      </c>
      <c r="V26" s="34">
        <f t="shared" si="20"/>
        <v>600</v>
      </c>
    </row>
    <row r="27" spans="1:22" x14ac:dyDescent="0.25">
      <c r="A27" s="385"/>
      <c r="B27" s="388"/>
      <c r="C27" s="388"/>
      <c r="D27" s="68" t="s">
        <v>180</v>
      </c>
      <c r="E27" s="69">
        <v>120</v>
      </c>
      <c r="F27" s="69">
        <v>160</v>
      </c>
      <c r="G27" s="69">
        <v>200</v>
      </c>
      <c r="H27" s="69" t="s">
        <v>178</v>
      </c>
      <c r="I27" s="69" t="s">
        <v>181</v>
      </c>
      <c r="J27" s="5"/>
      <c r="K27" s="31">
        <v>1</v>
      </c>
      <c r="L27" s="5">
        <f t="shared" ref="L27:L33" si="25">+$K27*E27</f>
        <v>120</v>
      </c>
      <c r="M27" s="5">
        <f t="shared" si="24"/>
        <v>160</v>
      </c>
      <c r="N27" s="5">
        <f t="shared" si="17"/>
        <v>200</v>
      </c>
      <c r="O27" s="31">
        <v>0</v>
      </c>
      <c r="P27" s="36">
        <f t="shared" si="22"/>
        <v>0</v>
      </c>
      <c r="Q27" s="36">
        <f t="shared" si="18"/>
        <v>0</v>
      </c>
      <c r="R27" s="36">
        <f t="shared" si="19"/>
        <v>0</v>
      </c>
      <c r="S27" s="31">
        <v>3</v>
      </c>
      <c r="T27" s="34">
        <f t="shared" si="23"/>
        <v>360</v>
      </c>
      <c r="U27" s="34">
        <f t="shared" si="20"/>
        <v>480</v>
      </c>
      <c r="V27" s="34">
        <f>+$S27*G27</f>
        <v>600</v>
      </c>
    </row>
    <row r="28" spans="1:22" ht="28.5" x14ac:dyDescent="0.25">
      <c r="A28" s="385" t="s">
        <v>182</v>
      </c>
      <c r="B28" s="385" t="s">
        <v>183</v>
      </c>
      <c r="C28" s="385" t="s">
        <v>184</v>
      </c>
      <c r="D28" s="15" t="s">
        <v>185</v>
      </c>
      <c r="E28" s="26">
        <v>12</v>
      </c>
      <c r="F28" s="26">
        <v>20</v>
      </c>
      <c r="G28" s="26">
        <v>30</v>
      </c>
      <c r="H28" s="69" t="s">
        <v>148</v>
      </c>
      <c r="I28" s="69" t="s">
        <v>186</v>
      </c>
      <c r="J28" s="20">
        <v>0.3</v>
      </c>
      <c r="K28" s="31">
        <f t="shared" ref="K28:K34" si="26">+J28*$B$4</f>
        <v>0.89999999999999991</v>
      </c>
      <c r="L28" s="5">
        <f t="shared" si="25"/>
        <v>10.799999999999999</v>
      </c>
      <c r="M28" s="5">
        <f t="shared" si="24"/>
        <v>18</v>
      </c>
      <c r="N28" s="5">
        <f t="shared" si="17"/>
        <v>26.999999999999996</v>
      </c>
      <c r="O28" s="31">
        <v>0</v>
      </c>
      <c r="P28" s="36">
        <f t="shared" si="22"/>
        <v>0</v>
      </c>
      <c r="Q28" s="36">
        <f t="shared" si="18"/>
        <v>0</v>
      </c>
      <c r="R28" s="36">
        <f t="shared" si="19"/>
        <v>0</v>
      </c>
      <c r="S28" s="31">
        <f t="shared" ref="S28:S38" si="27">+J28*$B$6</f>
        <v>195.6</v>
      </c>
      <c r="T28" s="37">
        <f>$S28*E28</f>
        <v>2347.1999999999998</v>
      </c>
      <c r="U28" s="37">
        <f t="shared" ref="U28:V34" si="28">$S28*F28</f>
        <v>3912</v>
      </c>
      <c r="V28" s="37">
        <f t="shared" si="28"/>
        <v>5868</v>
      </c>
    </row>
    <row r="29" spans="1:22" ht="28.5" x14ac:dyDescent="0.25">
      <c r="A29" s="385"/>
      <c r="B29" s="385"/>
      <c r="C29" s="385"/>
      <c r="D29" s="15" t="s">
        <v>187</v>
      </c>
      <c r="E29" s="26">
        <v>8</v>
      </c>
      <c r="F29" s="26">
        <v>12</v>
      </c>
      <c r="G29" s="26">
        <v>20</v>
      </c>
      <c r="H29" s="26" t="s">
        <v>188</v>
      </c>
      <c r="I29" s="69" t="s">
        <v>186</v>
      </c>
      <c r="J29" s="20">
        <v>0.3</v>
      </c>
      <c r="K29" s="31">
        <f t="shared" si="26"/>
        <v>0.89999999999999991</v>
      </c>
      <c r="L29" s="5">
        <f>+$K29*E29</f>
        <v>7.1999999999999993</v>
      </c>
      <c r="M29" s="5">
        <f t="shared" si="24"/>
        <v>10.799999999999999</v>
      </c>
      <c r="N29" s="5">
        <f t="shared" si="17"/>
        <v>18</v>
      </c>
      <c r="O29" s="31">
        <v>0</v>
      </c>
      <c r="P29" s="36">
        <f t="shared" si="22"/>
        <v>0</v>
      </c>
      <c r="Q29" s="36">
        <f t="shared" si="18"/>
        <v>0</v>
      </c>
      <c r="R29" s="36">
        <f t="shared" si="19"/>
        <v>0</v>
      </c>
      <c r="S29" s="31">
        <f t="shared" si="27"/>
        <v>195.6</v>
      </c>
      <c r="T29" s="37">
        <f t="shared" ref="T29:T34" si="29">$S29*E29</f>
        <v>1564.8</v>
      </c>
      <c r="U29" s="37">
        <f t="shared" si="28"/>
        <v>2347.1999999999998</v>
      </c>
      <c r="V29" s="37">
        <f t="shared" si="28"/>
        <v>3912</v>
      </c>
    </row>
    <row r="30" spans="1:22" ht="28.5" x14ac:dyDescent="0.25">
      <c r="A30" s="385"/>
      <c r="B30" s="385"/>
      <c r="C30" s="385"/>
      <c r="D30" s="15" t="s">
        <v>189</v>
      </c>
      <c r="E30" s="26">
        <v>24</v>
      </c>
      <c r="F30" s="26">
        <v>36</v>
      </c>
      <c r="G30" s="26">
        <v>64</v>
      </c>
      <c r="H30" s="26" t="s">
        <v>188</v>
      </c>
      <c r="I30" s="26" t="s">
        <v>190</v>
      </c>
      <c r="J30" s="20">
        <v>0.3</v>
      </c>
      <c r="K30" s="31">
        <f t="shared" si="26"/>
        <v>0.89999999999999991</v>
      </c>
      <c r="L30" s="5">
        <f t="shared" si="25"/>
        <v>21.599999999999998</v>
      </c>
      <c r="M30" s="5">
        <f t="shared" si="24"/>
        <v>32.4</v>
      </c>
      <c r="N30" s="5">
        <f t="shared" si="17"/>
        <v>57.599999999999994</v>
      </c>
      <c r="O30" s="31">
        <v>0</v>
      </c>
      <c r="P30" s="36">
        <f t="shared" si="22"/>
        <v>0</v>
      </c>
      <c r="Q30" s="36">
        <f t="shared" si="18"/>
        <v>0</v>
      </c>
      <c r="R30" s="36">
        <f t="shared" si="19"/>
        <v>0</v>
      </c>
      <c r="S30" s="31">
        <f t="shared" si="27"/>
        <v>195.6</v>
      </c>
      <c r="T30" s="37">
        <f t="shared" si="29"/>
        <v>4694.3999999999996</v>
      </c>
      <c r="U30" s="37">
        <f t="shared" si="28"/>
        <v>7041.5999999999995</v>
      </c>
      <c r="V30" s="37">
        <f t="shared" si="28"/>
        <v>12518.4</v>
      </c>
    </row>
    <row r="31" spans="1:22" x14ac:dyDescent="0.25">
      <c r="A31" s="385"/>
      <c r="B31" s="385"/>
      <c r="C31" s="385"/>
      <c r="D31" s="15" t="s">
        <v>191</v>
      </c>
      <c r="E31" s="26">
        <v>16</v>
      </c>
      <c r="F31" s="26">
        <v>20</v>
      </c>
      <c r="G31" s="26">
        <v>28</v>
      </c>
      <c r="H31" s="26" t="s">
        <v>188</v>
      </c>
      <c r="I31" s="26" t="s">
        <v>190</v>
      </c>
      <c r="J31" s="20">
        <v>0.3</v>
      </c>
      <c r="K31" s="31">
        <f t="shared" si="26"/>
        <v>0.89999999999999991</v>
      </c>
      <c r="L31" s="5">
        <f t="shared" si="25"/>
        <v>14.399999999999999</v>
      </c>
      <c r="M31" s="5">
        <f t="shared" si="24"/>
        <v>18</v>
      </c>
      <c r="N31" s="5">
        <f t="shared" si="17"/>
        <v>25.199999999999996</v>
      </c>
      <c r="O31" s="31">
        <v>0</v>
      </c>
      <c r="P31" s="36">
        <f t="shared" si="22"/>
        <v>0</v>
      </c>
      <c r="Q31" s="36">
        <f t="shared" si="18"/>
        <v>0</v>
      </c>
      <c r="R31" s="36">
        <f t="shared" si="19"/>
        <v>0</v>
      </c>
      <c r="S31" s="31">
        <f t="shared" si="27"/>
        <v>195.6</v>
      </c>
      <c r="T31" s="37">
        <f t="shared" si="29"/>
        <v>3129.6</v>
      </c>
      <c r="U31" s="37">
        <f t="shared" si="28"/>
        <v>3912</v>
      </c>
      <c r="V31" s="37">
        <f t="shared" si="28"/>
        <v>5476.8</v>
      </c>
    </row>
    <row r="32" spans="1:22" ht="28.5" x14ac:dyDescent="0.25">
      <c r="A32" s="385"/>
      <c r="B32" s="385"/>
      <c r="C32" s="385" t="s">
        <v>192</v>
      </c>
      <c r="D32" s="15" t="s">
        <v>193</v>
      </c>
      <c r="E32" s="26">
        <v>4</v>
      </c>
      <c r="F32" s="26">
        <v>8</v>
      </c>
      <c r="G32" s="26">
        <v>24</v>
      </c>
      <c r="H32" s="26" t="s">
        <v>148</v>
      </c>
      <c r="I32" s="26" t="s">
        <v>194</v>
      </c>
      <c r="J32" s="20">
        <v>0.01</v>
      </c>
      <c r="K32" s="31">
        <f t="shared" si="26"/>
        <v>0.03</v>
      </c>
      <c r="L32" s="5">
        <f>+$K32*E32</f>
        <v>0.12</v>
      </c>
      <c r="M32" s="5">
        <f t="shared" si="24"/>
        <v>0.24</v>
      </c>
      <c r="N32" s="5">
        <f t="shared" si="24"/>
        <v>0.72</v>
      </c>
      <c r="O32" s="31">
        <v>0</v>
      </c>
      <c r="P32" s="36">
        <f t="shared" si="22"/>
        <v>0</v>
      </c>
      <c r="Q32" s="36">
        <f t="shared" si="18"/>
        <v>0</v>
      </c>
      <c r="R32" s="36">
        <f t="shared" si="19"/>
        <v>0</v>
      </c>
      <c r="S32" s="31">
        <f t="shared" si="27"/>
        <v>6.5200000000000005</v>
      </c>
      <c r="T32" s="37">
        <f t="shared" si="29"/>
        <v>26.080000000000002</v>
      </c>
      <c r="U32" s="37">
        <f t="shared" si="28"/>
        <v>52.160000000000004</v>
      </c>
      <c r="V32" s="37">
        <f t="shared" si="28"/>
        <v>156.48000000000002</v>
      </c>
    </row>
    <row r="33" spans="1:22" x14ac:dyDescent="0.25">
      <c r="A33" s="385"/>
      <c r="B33" s="385"/>
      <c r="C33" s="385"/>
      <c r="D33" s="15" t="s">
        <v>195</v>
      </c>
      <c r="E33" s="26">
        <v>8</v>
      </c>
      <c r="F33" s="26">
        <v>12</v>
      </c>
      <c r="G33" s="26">
        <v>16</v>
      </c>
      <c r="H33" s="26" t="s">
        <v>148</v>
      </c>
      <c r="I33" s="26" t="s">
        <v>194</v>
      </c>
      <c r="J33" s="20">
        <v>0.01</v>
      </c>
      <c r="K33" s="31">
        <f t="shared" si="26"/>
        <v>0.03</v>
      </c>
      <c r="L33" s="5">
        <f t="shared" si="25"/>
        <v>0.24</v>
      </c>
      <c r="M33" s="5">
        <f t="shared" si="24"/>
        <v>0.36</v>
      </c>
      <c r="N33" s="5">
        <f t="shared" si="24"/>
        <v>0.48</v>
      </c>
      <c r="O33" s="31">
        <v>0</v>
      </c>
      <c r="P33" s="36">
        <f t="shared" si="22"/>
        <v>0</v>
      </c>
      <c r="Q33" s="36">
        <f t="shared" si="18"/>
        <v>0</v>
      </c>
      <c r="R33" s="36">
        <f t="shared" si="19"/>
        <v>0</v>
      </c>
      <c r="S33" s="31">
        <f t="shared" si="27"/>
        <v>6.5200000000000005</v>
      </c>
      <c r="T33" s="37">
        <f t="shared" si="29"/>
        <v>52.160000000000004</v>
      </c>
      <c r="U33" s="37">
        <f t="shared" si="28"/>
        <v>78.240000000000009</v>
      </c>
      <c r="V33" s="37">
        <f t="shared" si="28"/>
        <v>104.32000000000001</v>
      </c>
    </row>
    <row r="34" spans="1:22" ht="29.1" customHeight="1" x14ac:dyDescent="0.25">
      <c r="A34" s="385"/>
      <c r="B34" s="385"/>
      <c r="C34" s="385"/>
      <c r="D34" s="15" t="s">
        <v>196</v>
      </c>
      <c r="E34" s="26">
        <v>24</v>
      </c>
      <c r="F34" s="26">
        <v>36</v>
      </c>
      <c r="G34" s="26">
        <v>64</v>
      </c>
      <c r="H34" s="26" t="s">
        <v>148</v>
      </c>
      <c r="I34" s="26" t="s">
        <v>194</v>
      </c>
      <c r="J34" s="20">
        <v>0.01</v>
      </c>
      <c r="K34" s="31">
        <f t="shared" si="26"/>
        <v>0.03</v>
      </c>
      <c r="L34" s="5">
        <f>+$K34*E34</f>
        <v>0.72</v>
      </c>
      <c r="M34" s="5">
        <f t="shared" si="24"/>
        <v>1.08</v>
      </c>
      <c r="N34" s="5">
        <f>+$K34*G34</f>
        <v>1.92</v>
      </c>
      <c r="O34" s="31">
        <v>0</v>
      </c>
      <c r="P34" s="36">
        <f t="shared" si="22"/>
        <v>0</v>
      </c>
      <c r="Q34" s="36">
        <f t="shared" si="18"/>
        <v>0</v>
      </c>
      <c r="R34" s="36">
        <f t="shared" si="19"/>
        <v>0</v>
      </c>
      <c r="S34" s="31">
        <f t="shared" si="27"/>
        <v>6.5200000000000005</v>
      </c>
      <c r="T34" s="37">
        <f t="shared" si="29"/>
        <v>156.48000000000002</v>
      </c>
      <c r="U34" s="37">
        <f t="shared" si="28"/>
        <v>234.72000000000003</v>
      </c>
      <c r="V34" s="37">
        <f>$S34*G34</f>
        <v>417.28000000000003</v>
      </c>
    </row>
    <row r="35" spans="1:22" ht="28.5" x14ac:dyDescent="0.25">
      <c r="A35" s="385"/>
      <c r="B35" s="389" t="s">
        <v>197</v>
      </c>
      <c r="C35" s="390" t="s">
        <v>184</v>
      </c>
      <c r="D35" s="35" t="s">
        <v>185</v>
      </c>
      <c r="E35" s="36">
        <v>4</v>
      </c>
      <c r="F35" s="36">
        <v>8</v>
      </c>
      <c r="G35" s="36">
        <v>24</v>
      </c>
      <c r="H35" s="36" t="s">
        <v>188</v>
      </c>
      <c r="I35" s="36" t="s">
        <v>198</v>
      </c>
      <c r="J35" s="38">
        <v>0.01</v>
      </c>
      <c r="K35" s="31">
        <v>0</v>
      </c>
      <c r="L35" s="5">
        <f>$K35*E35</f>
        <v>0</v>
      </c>
      <c r="M35" s="5">
        <f t="shared" ref="M35:N38" si="30">$K35*F35</f>
        <v>0</v>
      </c>
      <c r="N35" s="5">
        <f t="shared" si="30"/>
        <v>0</v>
      </c>
      <c r="O35" s="31">
        <f>+J35*$B$5</f>
        <v>0.16</v>
      </c>
      <c r="P35" s="36">
        <f t="shared" ref="P35:R38" si="31">+$O35*E35</f>
        <v>0.64</v>
      </c>
      <c r="Q35" s="36">
        <f t="shared" si="31"/>
        <v>1.28</v>
      </c>
      <c r="R35" s="36">
        <f t="shared" si="31"/>
        <v>3.84</v>
      </c>
      <c r="S35" s="31">
        <f t="shared" si="27"/>
        <v>6.5200000000000005</v>
      </c>
      <c r="T35" s="37">
        <f>+$S35*E35</f>
        <v>26.080000000000002</v>
      </c>
      <c r="U35" s="37">
        <f t="shared" ref="U35:V38" si="32">+$S35*F35</f>
        <v>52.160000000000004</v>
      </c>
      <c r="V35" s="37">
        <f t="shared" si="32"/>
        <v>156.48000000000002</v>
      </c>
    </row>
    <row r="36" spans="1:22" ht="28.5" x14ac:dyDescent="0.25">
      <c r="A36" s="385"/>
      <c r="B36" s="389"/>
      <c r="C36" s="390"/>
      <c r="D36" s="35" t="s">
        <v>199</v>
      </c>
      <c r="E36" s="36">
        <v>16</v>
      </c>
      <c r="F36" s="36">
        <v>17</v>
      </c>
      <c r="G36" s="36">
        <v>20</v>
      </c>
      <c r="H36" s="36" t="s">
        <v>188</v>
      </c>
      <c r="I36" s="36" t="s">
        <v>200</v>
      </c>
      <c r="J36" s="38">
        <v>0.2</v>
      </c>
      <c r="K36" s="31">
        <v>0</v>
      </c>
      <c r="L36" s="5">
        <f t="shared" ref="L36:L38" si="33">$K36*E36</f>
        <v>0</v>
      </c>
      <c r="M36" s="5">
        <f t="shared" si="30"/>
        <v>0</v>
      </c>
      <c r="N36" s="5">
        <f t="shared" si="30"/>
        <v>0</v>
      </c>
      <c r="O36" s="31">
        <f>+J36*$B$5</f>
        <v>3.2</v>
      </c>
      <c r="P36" s="36">
        <f t="shared" si="31"/>
        <v>51.2</v>
      </c>
      <c r="Q36" s="36">
        <f t="shared" si="31"/>
        <v>54.400000000000006</v>
      </c>
      <c r="R36" s="36">
        <f t="shared" si="31"/>
        <v>64</v>
      </c>
      <c r="S36" s="31">
        <f t="shared" si="27"/>
        <v>130.4</v>
      </c>
      <c r="T36" s="37">
        <f t="shared" ref="T36:T38" si="34">+$S36*E36</f>
        <v>2086.4</v>
      </c>
      <c r="U36" s="37">
        <f t="shared" si="32"/>
        <v>2216.8000000000002</v>
      </c>
      <c r="V36" s="37">
        <f t="shared" si="32"/>
        <v>2608</v>
      </c>
    </row>
    <row r="37" spans="1:22" ht="28.5" x14ac:dyDescent="0.25">
      <c r="A37" s="385"/>
      <c r="B37" s="389"/>
      <c r="C37" s="390"/>
      <c r="D37" s="35" t="s">
        <v>189</v>
      </c>
      <c r="E37" s="36">
        <v>24</v>
      </c>
      <c r="F37" s="36">
        <v>36</v>
      </c>
      <c r="G37" s="36">
        <v>64</v>
      </c>
      <c r="H37" s="36" t="s">
        <v>188</v>
      </c>
      <c r="I37" s="36" t="s">
        <v>200</v>
      </c>
      <c r="J37" s="38">
        <v>0.2</v>
      </c>
      <c r="K37" s="31">
        <v>0</v>
      </c>
      <c r="L37" s="5">
        <f t="shared" si="33"/>
        <v>0</v>
      </c>
      <c r="M37" s="5">
        <f t="shared" si="30"/>
        <v>0</v>
      </c>
      <c r="N37" s="5">
        <f t="shared" si="30"/>
        <v>0</v>
      </c>
      <c r="O37" s="31">
        <f>+J37*$B$5</f>
        <v>3.2</v>
      </c>
      <c r="P37" s="36">
        <f t="shared" si="31"/>
        <v>76.800000000000011</v>
      </c>
      <c r="Q37" s="36">
        <f t="shared" si="31"/>
        <v>115.2</v>
      </c>
      <c r="R37" s="36">
        <f t="shared" si="31"/>
        <v>204.8</v>
      </c>
      <c r="S37" s="31">
        <f t="shared" si="27"/>
        <v>130.4</v>
      </c>
      <c r="T37" s="37">
        <f t="shared" si="34"/>
        <v>3129.6000000000004</v>
      </c>
      <c r="U37" s="37">
        <f t="shared" si="32"/>
        <v>4694.4000000000005</v>
      </c>
      <c r="V37" s="37">
        <f t="shared" si="32"/>
        <v>8345.6</v>
      </c>
    </row>
    <row r="38" spans="1:22" x14ac:dyDescent="0.25">
      <c r="A38" s="385"/>
      <c r="B38" s="389"/>
      <c r="C38" s="390"/>
      <c r="D38" s="35" t="s">
        <v>191</v>
      </c>
      <c r="E38" s="36">
        <v>24</v>
      </c>
      <c r="F38" s="36">
        <v>30</v>
      </c>
      <c r="G38" s="36">
        <v>32</v>
      </c>
      <c r="H38" s="36" t="s">
        <v>188</v>
      </c>
      <c r="I38" s="36" t="s">
        <v>200</v>
      </c>
      <c r="J38" s="38">
        <v>0.2</v>
      </c>
      <c r="K38" s="31">
        <v>0</v>
      </c>
      <c r="L38" s="5">
        <f t="shared" si="33"/>
        <v>0</v>
      </c>
      <c r="M38" s="5">
        <f t="shared" si="30"/>
        <v>0</v>
      </c>
      <c r="N38" s="5">
        <f t="shared" si="30"/>
        <v>0</v>
      </c>
      <c r="O38" s="31">
        <f>+J38*$B$5</f>
        <v>3.2</v>
      </c>
      <c r="P38" s="36">
        <f t="shared" si="31"/>
        <v>76.800000000000011</v>
      </c>
      <c r="Q38" s="36">
        <f t="shared" si="31"/>
        <v>96</v>
      </c>
      <c r="R38" s="36">
        <f t="shared" si="31"/>
        <v>102.4</v>
      </c>
      <c r="S38" s="31">
        <f t="shared" si="27"/>
        <v>130.4</v>
      </c>
      <c r="T38" s="37">
        <f t="shared" si="34"/>
        <v>3129.6000000000004</v>
      </c>
      <c r="U38" s="37">
        <f t="shared" si="32"/>
        <v>3912</v>
      </c>
      <c r="V38" s="37">
        <f>+$S38*G38</f>
        <v>4172.8</v>
      </c>
    </row>
    <row r="39" spans="1:22" ht="15" x14ac:dyDescent="0.25">
      <c r="A39" s="382" t="s">
        <v>201</v>
      </c>
      <c r="B39" s="383"/>
      <c r="C39" s="383"/>
      <c r="D39" s="383"/>
      <c r="E39" s="383"/>
      <c r="F39" s="383"/>
      <c r="G39" s="383"/>
      <c r="H39" s="383"/>
      <c r="I39" s="383"/>
      <c r="J39" s="383"/>
      <c r="K39" s="384"/>
      <c r="L39" s="39">
        <f>SUM(L11:L38)</f>
        <v>630.95664122137407</v>
      </c>
      <c r="M39" s="39">
        <f t="shared" ref="M39:N39" si="35">SUM(M11:M38)</f>
        <v>823.68061068702286</v>
      </c>
      <c r="N39" s="39">
        <f t="shared" si="35"/>
        <v>1237.1331297709926</v>
      </c>
      <c r="O39" s="41"/>
      <c r="P39" s="67">
        <f>SUM(P11:P38)</f>
        <v>4293.4400000000005</v>
      </c>
      <c r="Q39" s="67">
        <f t="shared" ref="Q39:R39" si="36">SUM(Q11:Q38)</f>
        <v>5006.08</v>
      </c>
      <c r="R39" s="67">
        <f t="shared" si="36"/>
        <v>6600.6399999999994</v>
      </c>
      <c r="S39" s="41"/>
      <c r="T39" s="39">
        <f>SUM(T11:T38)</f>
        <v>97670.8</v>
      </c>
      <c r="U39" s="39">
        <f t="shared" ref="U39:V39" si="37">SUM(U11:U38)</f>
        <v>121842.48000000001</v>
      </c>
      <c r="V39" s="39">
        <f t="shared" si="37"/>
        <v>189320.56000000003</v>
      </c>
    </row>
    <row r="41" spans="1:22" x14ac:dyDescent="0.25">
      <c r="A41" s="379" t="s">
        <v>202</v>
      </c>
      <c r="B41" s="380"/>
      <c r="C41" s="380"/>
      <c r="D41" s="380"/>
      <c r="E41" s="380"/>
      <c r="F41" s="381"/>
      <c r="G41" s="381"/>
    </row>
  </sheetData>
  <sheetProtection algorithmName="SHA-512" hashValue="yIDVkyM8kskierLQWK0dnk56+wH6vre0qUZIr3Mds7w0DxsrV+jRS8/V2nrJDGlPkOUWA8OepGwd/eNMLDGDUQ==" saltValue="Fw6VPe5+okwieRQOiJVWXg==" spinCount="100000" sheet="1" objects="1" scenarios="1"/>
  <mergeCells count="27">
    <mergeCell ref="A41:G41"/>
    <mergeCell ref="A39:K39"/>
    <mergeCell ref="A11:A27"/>
    <mergeCell ref="B11:C14"/>
    <mergeCell ref="B15:C21"/>
    <mergeCell ref="B22:C27"/>
    <mergeCell ref="A28:A38"/>
    <mergeCell ref="B28:B34"/>
    <mergeCell ref="C28:C31"/>
    <mergeCell ref="C32:C34"/>
    <mergeCell ref="B35:B38"/>
    <mergeCell ref="C35:C38"/>
    <mergeCell ref="H10:I10"/>
    <mergeCell ref="A8:D8"/>
    <mergeCell ref="E8:G8"/>
    <mergeCell ref="H8:K8"/>
    <mergeCell ref="A9:A10"/>
    <mergeCell ref="B9:C10"/>
    <mergeCell ref="D9:D10"/>
    <mergeCell ref="E9:G9"/>
    <mergeCell ref="Y1:AB1"/>
    <mergeCell ref="Y7:AC7"/>
    <mergeCell ref="H9:J9"/>
    <mergeCell ref="K9:N9"/>
    <mergeCell ref="O9:R9"/>
    <mergeCell ref="S9:V9"/>
    <mergeCell ref="L8:V8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44"/>
  <sheetViews>
    <sheetView zoomScale="70" zoomScaleNormal="70" workbookViewId="0">
      <selection activeCell="D16" sqref="D16"/>
    </sheetView>
  </sheetViews>
  <sheetFormatPr baseColWidth="10" defaultColWidth="10" defaultRowHeight="14.25" x14ac:dyDescent="0.2"/>
  <cols>
    <col min="1" max="1" width="15.125" style="1" customWidth="1"/>
    <col min="2" max="2" width="16.625" style="1" bestFit="1" customWidth="1"/>
    <col min="3" max="3" width="19.125" style="1" customWidth="1"/>
    <col min="4" max="4" width="79.125" style="1" bestFit="1" customWidth="1"/>
    <col min="5" max="5" width="6.125" style="1" customWidth="1"/>
    <col min="6" max="7" width="4.625" style="1" customWidth="1"/>
    <col min="8" max="8" width="39.625" style="1" bestFit="1" customWidth="1"/>
    <col min="9" max="9" width="42.625" style="1" customWidth="1"/>
    <col min="10" max="10" width="7.125" style="1" bestFit="1" customWidth="1"/>
    <col min="11" max="11" width="13.125" style="1" customWidth="1"/>
    <col min="12" max="12" width="10.125" style="1" customWidth="1"/>
    <col min="13" max="15" width="10" style="1" customWidth="1"/>
    <col min="16" max="16" width="11.125" style="1" customWidth="1"/>
    <col min="17" max="18" width="10" style="1" customWidth="1"/>
    <col min="19" max="19" width="13.125" style="1" bestFit="1" customWidth="1"/>
    <col min="20" max="20" width="11.125" style="1" bestFit="1" customWidth="1"/>
    <col min="21" max="23" width="10" style="1"/>
    <col min="24" max="24" width="44.5" style="1" customWidth="1"/>
    <col min="25" max="27" width="10" style="1" bestFit="1"/>
    <col min="28" max="28" width="24.125" style="1" customWidth="1"/>
    <col min="29" max="30" width="10" style="1"/>
    <col min="31" max="31" width="10" style="1" bestFit="1"/>
    <col min="32" max="16384" width="10" style="1"/>
  </cols>
  <sheetData>
    <row r="1" spans="1:30" ht="18" x14ac:dyDescent="0.25">
      <c r="A1" s="3" t="s">
        <v>112</v>
      </c>
    </row>
    <row r="2" spans="1:30" ht="15" x14ac:dyDescent="0.25">
      <c r="A2" s="365" t="s">
        <v>114</v>
      </c>
      <c r="B2" s="365"/>
    </row>
    <row r="3" spans="1:30" ht="15" x14ac:dyDescent="0.25">
      <c r="A3" s="4" t="s">
        <v>119</v>
      </c>
      <c r="B3" s="4">
        <f>+SUM(B4:B6)</f>
        <v>229</v>
      </c>
      <c r="C3" s="298" t="s">
        <v>203</v>
      </c>
      <c r="D3" s="21"/>
      <c r="H3" s="21"/>
      <c r="I3" s="44"/>
      <c r="J3" s="44"/>
      <c r="K3" s="45"/>
    </row>
    <row r="4" spans="1:30" ht="15" x14ac:dyDescent="0.25">
      <c r="A4" s="259" t="s">
        <v>121</v>
      </c>
      <c r="B4" s="254">
        <v>4</v>
      </c>
      <c r="C4" s="298"/>
      <c r="D4" s="46"/>
      <c r="E4" s="47"/>
      <c r="F4" s="47"/>
      <c r="G4" s="47"/>
      <c r="H4" s="21"/>
      <c r="I4" s="47"/>
      <c r="J4" s="47"/>
      <c r="K4" s="45"/>
      <c r="L4" s="47"/>
      <c r="M4" s="47"/>
      <c r="N4" s="47"/>
      <c r="O4" s="47"/>
      <c r="P4" s="47"/>
      <c r="Q4" s="47"/>
    </row>
    <row r="5" spans="1:30" ht="15" x14ac:dyDescent="0.25">
      <c r="A5" s="259" t="s">
        <v>122</v>
      </c>
      <c r="B5" s="254">
        <v>91</v>
      </c>
      <c r="C5" s="298"/>
      <c r="D5" s="46"/>
      <c r="E5" s="47"/>
      <c r="F5" s="47"/>
      <c r="G5" s="47"/>
      <c r="H5" s="21"/>
      <c r="I5" s="47"/>
      <c r="J5" s="47"/>
      <c r="K5" s="45"/>
      <c r="L5" s="47"/>
      <c r="M5" s="47"/>
      <c r="N5" s="47"/>
      <c r="O5" s="47"/>
      <c r="P5" s="47"/>
      <c r="Q5" s="47"/>
    </row>
    <row r="6" spans="1:30" ht="15" x14ac:dyDescent="0.25">
      <c r="A6" s="259" t="s">
        <v>123</v>
      </c>
      <c r="B6" s="254">
        <v>134</v>
      </c>
      <c r="C6" s="298"/>
      <c r="D6" s="46"/>
      <c r="E6" s="47"/>
      <c r="F6" s="47"/>
      <c r="G6" s="47"/>
      <c r="H6" s="21"/>
      <c r="I6" s="47"/>
      <c r="J6" s="47"/>
      <c r="K6" s="45"/>
      <c r="L6" s="47"/>
      <c r="M6" s="47"/>
      <c r="N6" s="47"/>
      <c r="O6" s="47"/>
      <c r="P6" s="47"/>
      <c r="Q6" s="47"/>
    </row>
    <row r="7" spans="1:30" ht="15" x14ac:dyDescent="0.25">
      <c r="A7" s="21"/>
      <c r="B7" s="21"/>
      <c r="C7" s="21"/>
      <c r="D7" s="21"/>
      <c r="E7" s="47"/>
      <c r="F7" s="47"/>
      <c r="G7" s="47"/>
      <c r="H7" s="21"/>
      <c r="I7" s="47"/>
      <c r="J7" s="47"/>
      <c r="K7" s="45"/>
      <c r="L7" s="47"/>
      <c r="M7" s="47"/>
      <c r="N7" s="47"/>
      <c r="O7" s="47"/>
      <c r="P7" s="47"/>
      <c r="Q7" s="47"/>
    </row>
    <row r="8" spans="1:30" ht="15" x14ac:dyDescent="0.25">
      <c r="A8" s="365" t="s">
        <v>125</v>
      </c>
      <c r="B8" s="365"/>
      <c r="C8" s="365"/>
      <c r="D8" s="365"/>
      <c r="E8" s="365" t="s">
        <v>126</v>
      </c>
      <c r="F8" s="365"/>
      <c r="G8" s="365"/>
      <c r="H8" s="365" t="s">
        <v>127</v>
      </c>
      <c r="I8" s="365"/>
      <c r="J8" s="365"/>
      <c r="K8" s="365"/>
      <c r="L8" s="365" t="s">
        <v>128</v>
      </c>
      <c r="M8" s="365"/>
      <c r="N8" s="365"/>
      <c r="O8" s="365"/>
      <c r="P8" s="365"/>
      <c r="Q8" s="365"/>
      <c r="R8" s="365"/>
      <c r="S8" s="365"/>
      <c r="T8" s="365"/>
      <c r="U8" s="365"/>
      <c r="V8" s="365"/>
      <c r="X8" s="362" t="s">
        <v>113</v>
      </c>
      <c r="Y8" s="363"/>
      <c r="Z8" s="363"/>
      <c r="AA8" s="364"/>
    </row>
    <row r="9" spans="1:30" ht="17.850000000000001" customHeight="1" x14ac:dyDescent="0.25">
      <c r="A9" s="373" t="s">
        <v>131</v>
      </c>
      <c r="B9" s="375" t="s">
        <v>132</v>
      </c>
      <c r="C9" s="376"/>
      <c r="D9" s="373" t="s">
        <v>133</v>
      </c>
      <c r="E9" s="374" t="s">
        <v>134</v>
      </c>
      <c r="F9" s="374"/>
      <c r="G9" s="374"/>
      <c r="H9" s="366" t="s">
        <v>135</v>
      </c>
      <c r="I9" s="367"/>
      <c r="J9" s="367"/>
      <c r="K9" s="367" t="s">
        <v>204</v>
      </c>
      <c r="L9" s="367"/>
      <c r="M9" s="367"/>
      <c r="N9" s="368"/>
      <c r="O9" s="367" t="s">
        <v>205</v>
      </c>
      <c r="P9" s="367"/>
      <c r="Q9" s="367"/>
      <c r="R9" s="368"/>
      <c r="S9" s="367" t="s">
        <v>206</v>
      </c>
      <c r="T9" s="367"/>
      <c r="U9" s="367"/>
      <c r="V9" s="368"/>
      <c r="X9" s="27" t="s">
        <v>115</v>
      </c>
      <c r="Y9" s="27" t="s">
        <v>116</v>
      </c>
      <c r="Z9" s="27" t="s">
        <v>117</v>
      </c>
      <c r="AA9" s="27" t="s">
        <v>118</v>
      </c>
    </row>
    <row r="10" spans="1:30" s="6" customFormat="1" ht="43.35" customHeight="1" x14ac:dyDescent="0.25">
      <c r="A10" s="374"/>
      <c r="B10" s="377"/>
      <c r="C10" s="378"/>
      <c r="D10" s="374"/>
      <c r="E10" s="27" t="s">
        <v>140</v>
      </c>
      <c r="F10" s="27" t="s">
        <v>117</v>
      </c>
      <c r="G10" s="27" t="s">
        <v>118</v>
      </c>
      <c r="H10" s="392" t="s">
        <v>141</v>
      </c>
      <c r="I10" s="393"/>
      <c r="J10" s="27" t="s">
        <v>142</v>
      </c>
      <c r="K10" s="29" t="s">
        <v>143</v>
      </c>
      <c r="L10" s="27" t="s">
        <v>116</v>
      </c>
      <c r="M10" s="27" t="s">
        <v>117</v>
      </c>
      <c r="N10" s="27" t="s">
        <v>118</v>
      </c>
      <c r="O10" s="29" t="s">
        <v>143</v>
      </c>
      <c r="P10" s="48" t="s">
        <v>116</v>
      </c>
      <c r="Q10" s="48" t="s">
        <v>117</v>
      </c>
      <c r="R10" s="49" t="s">
        <v>118</v>
      </c>
      <c r="S10" s="28" t="s">
        <v>143</v>
      </c>
      <c r="T10" s="27" t="s">
        <v>116</v>
      </c>
      <c r="U10" s="27" t="s">
        <v>117</v>
      </c>
      <c r="V10" s="27" t="s">
        <v>118</v>
      </c>
      <c r="X10" s="5" t="s">
        <v>121</v>
      </c>
      <c r="Y10" s="26">
        <f>+L42</f>
        <v>68.254028985507247</v>
      </c>
      <c r="Z10" s="26">
        <f t="shared" ref="Z10:AA10" si="0">+M42</f>
        <v>192.57275362318839</v>
      </c>
      <c r="AA10" s="26">
        <f t="shared" si="0"/>
        <v>397.37507246376805</v>
      </c>
      <c r="AB10" s="1"/>
    </row>
    <row r="11" spans="1:30" ht="15" customHeight="1" x14ac:dyDescent="0.2">
      <c r="A11" s="385" t="s">
        <v>207</v>
      </c>
      <c r="B11" s="388" t="s">
        <v>146</v>
      </c>
      <c r="C11" s="388"/>
      <c r="D11" s="7" t="s">
        <v>208</v>
      </c>
      <c r="E11" s="7">
        <v>8</v>
      </c>
      <c r="F11" s="7">
        <v>16</v>
      </c>
      <c r="G11" s="7">
        <v>40</v>
      </c>
      <c r="H11" s="7" t="s">
        <v>209</v>
      </c>
      <c r="I11" s="7" t="s">
        <v>210</v>
      </c>
      <c r="J11" s="7"/>
      <c r="K11" s="50">
        <f>13*(B4/(B4+B6))</f>
        <v>0.37681159420289856</v>
      </c>
      <c r="L11" s="7">
        <f>+$K11*E11</f>
        <v>3.0144927536231885</v>
      </c>
      <c r="M11" s="7">
        <f t="shared" ref="M11:N15" si="1">+$K11*F11</f>
        <v>6.0289855072463769</v>
      </c>
      <c r="N11" s="7">
        <f t="shared" si="1"/>
        <v>15.072463768115941</v>
      </c>
      <c r="O11" s="50">
        <v>0</v>
      </c>
      <c r="P11" s="51">
        <f>+$O11*E11</f>
        <v>0</v>
      </c>
      <c r="Q11" s="51">
        <f t="shared" ref="Q11:R15" si="2">+$O11*F11</f>
        <v>0</v>
      </c>
      <c r="R11" s="52">
        <f t="shared" si="2"/>
        <v>0</v>
      </c>
      <c r="S11" s="50">
        <f>13*(B6/(B4+B6))</f>
        <v>12.623188405797102</v>
      </c>
      <c r="T11" s="53">
        <f>+$S11*E11</f>
        <v>100.98550724637681</v>
      </c>
      <c r="U11" s="53">
        <f t="shared" ref="U11:V15" si="3">+$S11*F11</f>
        <v>201.97101449275362</v>
      </c>
      <c r="V11" s="53">
        <f t="shared" si="3"/>
        <v>504.92753623188406</v>
      </c>
      <c r="X11" s="7" t="s">
        <v>122</v>
      </c>
      <c r="Y11" s="25">
        <f>+P42</f>
        <v>122.76196</v>
      </c>
      <c r="Z11" s="25">
        <f t="shared" ref="Z11:AA11" si="4">+Q42</f>
        <v>746.96919999999989</v>
      </c>
      <c r="AA11" s="25">
        <f t="shared" si="4"/>
        <v>1131.4184</v>
      </c>
    </row>
    <row r="12" spans="1:30" x14ac:dyDescent="0.2">
      <c r="A12" s="385"/>
      <c r="B12" s="388"/>
      <c r="C12" s="388"/>
      <c r="D12" s="7" t="s">
        <v>211</v>
      </c>
      <c r="E12" s="7">
        <v>4</v>
      </c>
      <c r="F12" s="7">
        <v>6</v>
      </c>
      <c r="G12" s="7">
        <v>24</v>
      </c>
      <c r="H12" s="7" t="s">
        <v>156</v>
      </c>
      <c r="I12" s="7"/>
      <c r="J12" s="7"/>
      <c r="K12" s="50">
        <f>+$B$4</f>
        <v>4</v>
      </c>
      <c r="L12" s="7">
        <f t="shared" ref="L12:L15" si="5">+$K12*E12</f>
        <v>16</v>
      </c>
      <c r="M12" s="7">
        <f t="shared" si="1"/>
        <v>24</v>
      </c>
      <c r="N12" s="7">
        <f t="shared" si="1"/>
        <v>96</v>
      </c>
      <c r="O12" s="50">
        <v>0</v>
      </c>
      <c r="P12" s="51">
        <f t="shared" ref="P12:P15" si="6">+$O12*E12</f>
        <v>0</v>
      </c>
      <c r="Q12" s="51">
        <f t="shared" si="2"/>
        <v>0</v>
      </c>
      <c r="R12" s="52">
        <f t="shared" si="2"/>
        <v>0</v>
      </c>
      <c r="S12" s="50">
        <f>+B6</f>
        <v>134</v>
      </c>
      <c r="T12" s="53">
        <f t="shared" ref="T12:T15" si="7">+$S12*E12</f>
        <v>536</v>
      </c>
      <c r="U12" s="53">
        <f t="shared" si="3"/>
        <v>804</v>
      </c>
      <c r="V12" s="53">
        <f t="shared" si="3"/>
        <v>3216</v>
      </c>
      <c r="X12" s="7" t="s">
        <v>123</v>
      </c>
      <c r="Y12" s="7">
        <f>+T42</f>
        <v>2444.599011014493</v>
      </c>
      <c r="Z12" s="7">
        <f>+U42</f>
        <v>7518.9880463768095</v>
      </c>
      <c r="AA12" s="7">
        <f>+V42</f>
        <v>14925.186527536229</v>
      </c>
    </row>
    <row r="13" spans="1:30" x14ac:dyDescent="0.2">
      <c r="A13" s="385"/>
      <c r="B13" s="388"/>
      <c r="C13" s="388"/>
      <c r="D13" s="7" t="s">
        <v>212</v>
      </c>
      <c r="E13" s="7">
        <v>0.2</v>
      </c>
      <c r="F13" s="7">
        <v>1</v>
      </c>
      <c r="G13" s="7">
        <v>4</v>
      </c>
      <c r="H13" s="7" t="s">
        <v>156</v>
      </c>
      <c r="I13" s="7" t="s">
        <v>213</v>
      </c>
      <c r="J13" s="8">
        <v>0.8</v>
      </c>
      <c r="K13" s="50">
        <f>+$B$4*J13</f>
        <v>3.2</v>
      </c>
      <c r="L13" s="7">
        <f t="shared" si="5"/>
        <v>0.64000000000000012</v>
      </c>
      <c r="M13" s="7">
        <f t="shared" si="1"/>
        <v>3.2</v>
      </c>
      <c r="N13" s="7">
        <f>+$K13*G13</f>
        <v>12.8</v>
      </c>
      <c r="O13" s="50">
        <v>0</v>
      </c>
      <c r="P13" s="51">
        <f t="shared" si="6"/>
        <v>0</v>
      </c>
      <c r="Q13" s="51">
        <f t="shared" si="2"/>
        <v>0</v>
      </c>
      <c r="R13" s="52">
        <f t="shared" si="2"/>
        <v>0</v>
      </c>
      <c r="S13" s="50">
        <f>+J13*$B$6</f>
        <v>107.2</v>
      </c>
      <c r="T13" s="53">
        <f t="shared" si="7"/>
        <v>21.44</v>
      </c>
      <c r="U13" s="53">
        <f t="shared" si="3"/>
        <v>107.2</v>
      </c>
      <c r="V13" s="53">
        <f t="shared" si="3"/>
        <v>428.8</v>
      </c>
    </row>
    <row r="14" spans="1:30" x14ac:dyDescent="0.2">
      <c r="A14" s="385"/>
      <c r="B14" s="388"/>
      <c r="C14" s="388"/>
      <c r="D14" s="7" t="s">
        <v>214</v>
      </c>
      <c r="E14" s="7">
        <v>0.5</v>
      </c>
      <c r="F14" s="7">
        <v>2</v>
      </c>
      <c r="G14" s="7">
        <v>4</v>
      </c>
      <c r="H14" s="7" t="s">
        <v>156</v>
      </c>
      <c r="I14" s="7" t="s">
        <v>215</v>
      </c>
      <c r="J14" s="8">
        <v>0.9</v>
      </c>
      <c r="K14" s="50">
        <f>+K13*J14</f>
        <v>2.8800000000000003</v>
      </c>
      <c r="L14" s="7">
        <f t="shared" si="5"/>
        <v>1.4400000000000002</v>
      </c>
      <c r="M14" s="7">
        <f t="shared" si="1"/>
        <v>5.7600000000000007</v>
      </c>
      <c r="N14" s="7">
        <f t="shared" si="1"/>
        <v>11.520000000000001</v>
      </c>
      <c r="O14" s="50">
        <v>0</v>
      </c>
      <c r="P14" s="51">
        <f t="shared" si="6"/>
        <v>0</v>
      </c>
      <c r="Q14" s="51">
        <f t="shared" si="2"/>
        <v>0</v>
      </c>
      <c r="R14" s="52">
        <f t="shared" si="2"/>
        <v>0</v>
      </c>
      <c r="S14" s="50">
        <f>+J14*S13</f>
        <v>96.48</v>
      </c>
      <c r="T14" s="53">
        <f t="shared" si="7"/>
        <v>48.24</v>
      </c>
      <c r="U14" s="53">
        <f t="shared" si="3"/>
        <v>192.96</v>
      </c>
      <c r="V14" s="53">
        <f t="shared" si="3"/>
        <v>385.92</v>
      </c>
      <c r="AD14" s="54"/>
    </row>
    <row r="15" spans="1:30" x14ac:dyDescent="0.2">
      <c r="A15" s="385"/>
      <c r="B15" s="388"/>
      <c r="C15" s="388"/>
      <c r="D15" s="7" t="s">
        <v>216</v>
      </c>
      <c r="E15" s="7">
        <v>8</v>
      </c>
      <c r="F15" s="7">
        <v>4</v>
      </c>
      <c r="G15" s="7">
        <v>24</v>
      </c>
      <c r="H15" s="7" t="s">
        <v>217</v>
      </c>
      <c r="I15" s="7" t="s">
        <v>218</v>
      </c>
      <c r="J15" s="7"/>
      <c r="K15" s="50">
        <f>4*(B4/(B4+B6))</f>
        <v>0.11594202898550725</v>
      </c>
      <c r="L15" s="7">
        <f t="shared" si="5"/>
        <v>0.92753623188405798</v>
      </c>
      <c r="M15" s="7">
        <f t="shared" si="1"/>
        <v>0.46376811594202899</v>
      </c>
      <c r="N15" s="7">
        <f>+$K15*G15</f>
        <v>2.7826086956521738</v>
      </c>
      <c r="O15" s="50">
        <v>0</v>
      </c>
      <c r="P15" s="51">
        <f t="shared" si="6"/>
        <v>0</v>
      </c>
      <c r="Q15" s="51">
        <f t="shared" si="2"/>
        <v>0</v>
      </c>
      <c r="R15" s="52">
        <f>+$O15*G15</f>
        <v>0</v>
      </c>
      <c r="S15" s="50">
        <f>4*(B6/(B4+B6))</f>
        <v>3.8840579710144927</v>
      </c>
      <c r="T15" s="53">
        <f t="shared" si="7"/>
        <v>31.072463768115941</v>
      </c>
      <c r="U15" s="53">
        <f t="shared" si="3"/>
        <v>15.536231884057971</v>
      </c>
      <c r="V15" s="53">
        <f>+$S15*G15</f>
        <v>93.217391304347828</v>
      </c>
      <c r="AD15" s="54"/>
    </row>
    <row r="16" spans="1:30" ht="15" x14ac:dyDescent="0.25">
      <c r="A16" s="385"/>
      <c r="B16" s="387" t="s">
        <v>157</v>
      </c>
      <c r="C16" s="387"/>
      <c r="D16" s="55" t="s">
        <v>208</v>
      </c>
      <c r="E16" s="55">
        <v>24</v>
      </c>
      <c r="F16" s="55">
        <v>32</v>
      </c>
      <c r="G16" s="55">
        <v>40</v>
      </c>
      <c r="H16" s="55" t="s">
        <v>159</v>
      </c>
      <c r="I16" s="55" t="s">
        <v>219</v>
      </c>
      <c r="J16" s="55"/>
      <c r="K16" s="50">
        <v>0</v>
      </c>
      <c r="L16" s="7">
        <f>K16*E16</f>
        <v>0</v>
      </c>
      <c r="M16" s="7">
        <f t="shared" ref="M16:N20" si="8">L16*F16</f>
        <v>0</v>
      </c>
      <c r="N16" s="7">
        <f t="shared" si="8"/>
        <v>0</v>
      </c>
      <c r="O16" s="50">
        <v>1</v>
      </c>
      <c r="P16" s="51">
        <f>$O$16*E16</f>
        <v>24</v>
      </c>
      <c r="Q16" s="51">
        <f>$O$16*F16</f>
        <v>32</v>
      </c>
      <c r="R16" s="52">
        <f>$O$16*G16</f>
        <v>40</v>
      </c>
      <c r="S16" s="50">
        <v>1</v>
      </c>
      <c r="T16" s="53">
        <f>$S16*E16</f>
        <v>24</v>
      </c>
      <c r="U16" s="53">
        <f t="shared" ref="U16:V20" si="9">$S16*F16</f>
        <v>32</v>
      </c>
      <c r="V16" s="53">
        <f t="shared" si="9"/>
        <v>40</v>
      </c>
      <c r="X16" s="365" t="s">
        <v>124</v>
      </c>
      <c r="Y16" s="365"/>
      <c r="Z16" s="365"/>
      <c r="AA16" s="365"/>
      <c r="AB16" s="365"/>
    </row>
    <row r="17" spans="1:30" ht="30" x14ac:dyDescent="0.25">
      <c r="A17" s="385"/>
      <c r="B17" s="387"/>
      <c r="C17" s="387"/>
      <c r="D17" s="55" t="s">
        <v>220</v>
      </c>
      <c r="E17" s="55">
        <v>0.1</v>
      </c>
      <c r="F17" s="55">
        <v>6</v>
      </c>
      <c r="G17" s="55">
        <v>8</v>
      </c>
      <c r="H17" s="55" t="s">
        <v>156</v>
      </c>
      <c r="I17" s="55"/>
      <c r="J17" s="55"/>
      <c r="K17" s="50">
        <v>0</v>
      </c>
      <c r="L17" s="7">
        <f t="shared" ref="L17:L20" si="10">K17*E17</f>
        <v>0</v>
      </c>
      <c r="M17" s="7">
        <f t="shared" si="8"/>
        <v>0</v>
      </c>
      <c r="N17" s="7">
        <f t="shared" si="8"/>
        <v>0</v>
      </c>
      <c r="O17" s="50">
        <f>+$B$5</f>
        <v>91</v>
      </c>
      <c r="P17" s="51">
        <f>$O$17*E17</f>
        <v>9.1</v>
      </c>
      <c r="Q17" s="51">
        <f>$O$17*F17</f>
        <v>546</v>
      </c>
      <c r="R17" s="52">
        <f>$O$17*G17</f>
        <v>728</v>
      </c>
      <c r="S17" s="50">
        <f>+$B$6</f>
        <v>134</v>
      </c>
      <c r="T17" s="53">
        <f t="shared" ref="T17:T20" si="11">$S17*E17</f>
        <v>13.4</v>
      </c>
      <c r="U17" s="53">
        <f t="shared" si="9"/>
        <v>804</v>
      </c>
      <c r="V17" s="53">
        <f t="shared" si="9"/>
        <v>1072</v>
      </c>
      <c r="X17" s="4" t="s">
        <v>129</v>
      </c>
      <c r="Y17" s="27">
        <f>+SUM(Y10:Y12)</f>
        <v>2635.6150000000002</v>
      </c>
      <c r="Z17" s="27">
        <f>+SUM(Z10:Z12)</f>
        <v>8458.529999999997</v>
      </c>
      <c r="AA17" s="27">
        <f>+SUM(AA10:AA12)</f>
        <v>16453.979999999996</v>
      </c>
      <c r="AB17" s="28" t="s">
        <v>130</v>
      </c>
    </row>
    <row r="18" spans="1:30" ht="15" x14ac:dyDescent="0.25">
      <c r="A18" s="385"/>
      <c r="B18" s="387"/>
      <c r="C18" s="387"/>
      <c r="D18" s="55" t="s">
        <v>221</v>
      </c>
      <c r="E18" s="55">
        <v>0.1</v>
      </c>
      <c r="F18" s="55">
        <v>1</v>
      </c>
      <c r="G18" s="55">
        <v>2</v>
      </c>
      <c r="H18" s="55" t="s">
        <v>156</v>
      </c>
      <c r="I18" s="55" t="s">
        <v>222</v>
      </c>
      <c r="J18" s="56">
        <v>0.1</v>
      </c>
      <c r="K18" s="50">
        <v>0</v>
      </c>
      <c r="L18" s="7">
        <f t="shared" si="10"/>
        <v>0</v>
      </c>
      <c r="M18" s="7">
        <f t="shared" si="8"/>
        <v>0</v>
      </c>
      <c r="N18" s="7">
        <f t="shared" si="8"/>
        <v>0</v>
      </c>
      <c r="O18" s="50">
        <f>+$B$5*J18</f>
        <v>9.1</v>
      </c>
      <c r="P18" s="51">
        <f>$O$18*E18</f>
        <v>0.91</v>
      </c>
      <c r="Q18" s="51">
        <f>$O$18*F18</f>
        <v>9.1</v>
      </c>
      <c r="R18" s="52">
        <f>$O$18*G18</f>
        <v>18.2</v>
      </c>
      <c r="S18" s="50">
        <f>+J18*$B$6</f>
        <v>13.4</v>
      </c>
      <c r="T18" s="53">
        <f t="shared" si="11"/>
        <v>1.34</v>
      </c>
      <c r="U18" s="53">
        <f t="shared" si="9"/>
        <v>13.4</v>
      </c>
      <c r="V18" s="53">
        <f t="shared" si="9"/>
        <v>26.8</v>
      </c>
      <c r="X18" s="7" t="s">
        <v>139</v>
      </c>
      <c r="Y18" s="42">
        <f>+Y10/Y17</f>
        <v>2.5896813072283791E-2</v>
      </c>
      <c r="Z18" s="42">
        <f>+Z10/Z17</f>
        <v>2.2766692749589878E-2</v>
      </c>
      <c r="AA18" s="42">
        <f>+AA10/AA17</f>
        <v>2.4150696212330885E-2</v>
      </c>
      <c r="AB18" s="62">
        <f>+AVERAGE(Y18:AA18)</f>
        <v>2.4271400678068183E-2</v>
      </c>
    </row>
    <row r="19" spans="1:30" ht="15" x14ac:dyDescent="0.25">
      <c r="A19" s="385"/>
      <c r="B19" s="387"/>
      <c r="C19" s="387"/>
      <c r="D19" s="55" t="s">
        <v>214</v>
      </c>
      <c r="E19" s="55">
        <v>0.2</v>
      </c>
      <c r="F19" s="55">
        <v>1</v>
      </c>
      <c r="G19" s="55">
        <v>2</v>
      </c>
      <c r="H19" s="55" t="s">
        <v>156</v>
      </c>
      <c r="I19" s="55" t="s">
        <v>215</v>
      </c>
      <c r="J19" s="56">
        <v>0.9</v>
      </c>
      <c r="K19" s="50">
        <v>0</v>
      </c>
      <c r="L19" s="7">
        <f t="shared" si="10"/>
        <v>0</v>
      </c>
      <c r="M19" s="7">
        <f t="shared" si="8"/>
        <v>0</v>
      </c>
      <c r="N19" s="7">
        <f t="shared" si="8"/>
        <v>0</v>
      </c>
      <c r="O19" s="50">
        <f>+J19*O18</f>
        <v>8.19</v>
      </c>
      <c r="P19" s="51">
        <f>$O$19*E19</f>
        <v>1.6379999999999999</v>
      </c>
      <c r="Q19" s="51">
        <f>$O$19*F19</f>
        <v>8.19</v>
      </c>
      <c r="R19" s="52">
        <f>$O$19*G19</f>
        <v>16.38</v>
      </c>
      <c r="S19" s="50">
        <f>+J19*S18</f>
        <v>12.06</v>
      </c>
      <c r="T19" s="53">
        <f t="shared" si="11"/>
        <v>2.4120000000000004</v>
      </c>
      <c r="U19" s="53">
        <f t="shared" si="9"/>
        <v>12.06</v>
      </c>
      <c r="V19" s="53">
        <f t="shared" si="9"/>
        <v>24.12</v>
      </c>
      <c r="X19" s="7" t="s">
        <v>144</v>
      </c>
      <c r="Y19" s="42">
        <f>+Y11/Y17</f>
        <v>4.6578107955828146E-2</v>
      </c>
      <c r="Z19" s="42">
        <f>+Z11/Z17</f>
        <v>8.830957625024681E-2</v>
      </c>
      <c r="AA19" s="42">
        <f>+AA11/AA17</f>
        <v>6.8762597256104618E-2</v>
      </c>
      <c r="AB19" s="62">
        <f>+AVERAGE(Y19:AA19)</f>
        <v>6.7883427154059858E-2</v>
      </c>
    </row>
    <row r="20" spans="1:30" ht="15" x14ac:dyDescent="0.25">
      <c r="A20" s="385"/>
      <c r="B20" s="387"/>
      <c r="C20" s="387"/>
      <c r="D20" s="55" t="s">
        <v>216</v>
      </c>
      <c r="E20" s="55">
        <v>8</v>
      </c>
      <c r="F20" s="55">
        <v>12</v>
      </c>
      <c r="G20" s="55">
        <v>24</v>
      </c>
      <c r="H20" s="55" t="s">
        <v>223</v>
      </c>
      <c r="I20" s="55" t="s">
        <v>224</v>
      </c>
      <c r="J20" s="55"/>
      <c r="K20" s="50">
        <v>0</v>
      </c>
      <c r="L20" s="7">
        <f t="shared" si="10"/>
        <v>0</v>
      </c>
      <c r="M20" s="7">
        <f>L20*F20</f>
        <v>0</v>
      </c>
      <c r="N20" s="7">
        <f t="shared" si="8"/>
        <v>0</v>
      </c>
      <c r="O20" s="50">
        <v>3</v>
      </c>
      <c r="P20" s="51">
        <f>$O$20*E20</f>
        <v>24</v>
      </c>
      <c r="Q20" s="51">
        <f>$O$20*F20</f>
        <v>36</v>
      </c>
      <c r="R20" s="52">
        <f>$O$20*G20</f>
        <v>72</v>
      </c>
      <c r="S20" s="50">
        <v>3</v>
      </c>
      <c r="T20" s="53">
        <f t="shared" si="11"/>
        <v>24</v>
      </c>
      <c r="U20" s="53">
        <f t="shared" si="9"/>
        <v>36</v>
      </c>
      <c r="V20" s="53">
        <f>$S20*G20</f>
        <v>72</v>
      </c>
      <c r="X20" s="7" t="s">
        <v>225</v>
      </c>
      <c r="Y20" s="63">
        <f>+Y12/Y17</f>
        <v>0.92752507897188807</v>
      </c>
      <c r="Z20" s="63">
        <f>+Z12/Z17</f>
        <v>0.88892373100016342</v>
      </c>
      <c r="AA20" s="63">
        <f>+AA12/AA17</f>
        <v>0.90708670653156454</v>
      </c>
      <c r="AB20" s="62">
        <f>+AVERAGE(Y20:AA20)</f>
        <v>0.90784517216787197</v>
      </c>
      <c r="AC20" s="2"/>
    </row>
    <row r="21" spans="1:30" ht="15" customHeight="1" x14ac:dyDescent="0.25">
      <c r="A21" s="385" t="s">
        <v>182</v>
      </c>
      <c r="B21" s="385" t="s">
        <v>183</v>
      </c>
      <c r="C21" s="385" t="s">
        <v>226</v>
      </c>
      <c r="D21" s="7" t="s">
        <v>227</v>
      </c>
      <c r="E21" s="7">
        <v>4</v>
      </c>
      <c r="F21" s="7">
        <v>16</v>
      </c>
      <c r="G21" s="7">
        <v>24</v>
      </c>
      <c r="H21" s="7" t="s">
        <v>188</v>
      </c>
      <c r="I21" s="7" t="s">
        <v>228</v>
      </c>
      <c r="J21" s="8">
        <v>0.6</v>
      </c>
      <c r="K21" s="50">
        <f>J21*($B$4)</f>
        <v>2.4</v>
      </c>
      <c r="L21" s="7">
        <f>+$K21*E21</f>
        <v>9.6</v>
      </c>
      <c r="M21" s="7">
        <f t="shared" ref="M21:N25" si="12">+$K21*F21</f>
        <v>38.4</v>
      </c>
      <c r="N21" s="7">
        <f t="shared" si="12"/>
        <v>57.599999999999994</v>
      </c>
      <c r="O21" s="50">
        <v>0</v>
      </c>
      <c r="P21" s="51">
        <f>+$O21*E21</f>
        <v>0</v>
      </c>
      <c r="Q21" s="51">
        <f t="shared" ref="Q21:R25" si="13">+$O21*F21</f>
        <v>0</v>
      </c>
      <c r="R21" s="52">
        <f t="shared" si="13"/>
        <v>0</v>
      </c>
      <c r="S21" s="50">
        <f>J21*($B$6)</f>
        <v>80.399999999999991</v>
      </c>
      <c r="T21" s="53">
        <f>$S21*E21</f>
        <v>321.59999999999997</v>
      </c>
      <c r="U21" s="53">
        <f t="shared" ref="U21:V25" si="14">$S21*F21</f>
        <v>1286.3999999999999</v>
      </c>
      <c r="V21" s="53">
        <f t="shared" si="14"/>
        <v>1929.6</v>
      </c>
      <c r="X21" s="57"/>
      <c r="Y21" s="57"/>
      <c r="Z21" s="57"/>
      <c r="AA21" s="57"/>
      <c r="AB21" s="57"/>
      <c r="AC21" s="2"/>
      <c r="AD21" s="9"/>
    </row>
    <row r="22" spans="1:30" x14ac:dyDescent="0.2">
      <c r="A22" s="385"/>
      <c r="B22" s="385"/>
      <c r="C22" s="385"/>
      <c r="D22" s="7" t="s">
        <v>229</v>
      </c>
      <c r="E22" s="7">
        <v>4</v>
      </c>
      <c r="F22" s="7">
        <v>16</v>
      </c>
      <c r="G22" s="7">
        <v>32</v>
      </c>
      <c r="H22" s="7" t="s">
        <v>188</v>
      </c>
      <c r="I22" s="7"/>
      <c r="J22" s="8">
        <v>0.6</v>
      </c>
      <c r="K22" s="50">
        <f>J22*($B$4)</f>
        <v>2.4</v>
      </c>
      <c r="L22" s="7">
        <f t="shared" ref="L22:L24" si="15">+$K22*E22</f>
        <v>9.6</v>
      </c>
      <c r="M22" s="7">
        <f t="shared" si="12"/>
        <v>38.4</v>
      </c>
      <c r="N22" s="7">
        <f t="shared" si="12"/>
        <v>76.8</v>
      </c>
      <c r="O22" s="50">
        <v>0</v>
      </c>
      <c r="P22" s="51">
        <f t="shared" ref="P22:P25" si="16">+$O22*E22</f>
        <v>0</v>
      </c>
      <c r="Q22" s="51">
        <f t="shared" si="13"/>
        <v>0</v>
      </c>
      <c r="R22" s="52">
        <f t="shared" si="13"/>
        <v>0</v>
      </c>
      <c r="S22" s="50">
        <f>J22*($B$6)</f>
        <v>80.399999999999991</v>
      </c>
      <c r="T22" s="53">
        <f t="shared" ref="T22:T25" si="17">$S22*E22</f>
        <v>321.59999999999997</v>
      </c>
      <c r="U22" s="53">
        <f t="shared" si="14"/>
        <v>1286.3999999999999</v>
      </c>
      <c r="V22" s="53">
        <f t="shared" si="14"/>
        <v>2572.7999999999997</v>
      </c>
    </row>
    <row r="23" spans="1:30" ht="15" x14ac:dyDescent="0.25">
      <c r="A23" s="385"/>
      <c r="B23" s="385"/>
      <c r="C23" s="385"/>
      <c r="D23" s="7" t="s">
        <v>230</v>
      </c>
      <c r="E23" s="7">
        <v>8</v>
      </c>
      <c r="F23" s="7">
        <v>16</v>
      </c>
      <c r="G23" s="7">
        <v>24</v>
      </c>
      <c r="H23" s="7" t="s">
        <v>188</v>
      </c>
      <c r="I23" s="7"/>
      <c r="J23" s="8">
        <v>0.6</v>
      </c>
      <c r="K23" s="50">
        <f>J23*($B$4)</f>
        <v>2.4</v>
      </c>
      <c r="L23" s="7">
        <f t="shared" si="15"/>
        <v>19.2</v>
      </c>
      <c r="M23" s="7">
        <f t="shared" si="12"/>
        <v>38.4</v>
      </c>
      <c r="N23" s="7">
        <f t="shared" si="12"/>
        <v>57.599999999999994</v>
      </c>
      <c r="O23" s="50">
        <v>0</v>
      </c>
      <c r="P23" s="51">
        <f t="shared" si="16"/>
        <v>0</v>
      </c>
      <c r="Q23" s="51">
        <f t="shared" si="13"/>
        <v>0</v>
      </c>
      <c r="R23" s="52">
        <f t="shared" si="13"/>
        <v>0</v>
      </c>
      <c r="S23" s="50">
        <f t="shared" ref="S23:S24" si="18">J23*($B$6)</f>
        <v>80.399999999999991</v>
      </c>
      <c r="T23" s="53">
        <f t="shared" si="17"/>
        <v>643.19999999999993</v>
      </c>
      <c r="U23" s="53">
        <f t="shared" si="14"/>
        <v>1286.3999999999999</v>
      </c>
      <c r="V23" s="53">
        <f t="shared" si="14"/>
        <v>1929.6</v>
      </c>
      <c r="AB23" s="57"/>
      <c r="AC23" s="58"/>
    </row>
    <row r="24" spans="1:30" x14ac:dyDescent="0.2">
      <c r="A24" s="385"/>
      <c r="B24" s="385"/>
      <c r="C24" s="385"/>
      <c r="D24" s="7" t="s">
        <v>231</v>
      </c>
      <c r="E24" s="7">
        <v>0.2</v>
      </c>
      <c r="F24" s="7">
        <v>6</v>
      </c>
      <c r="G24" s="7">
        <v>8</v>
      </c>
      <c r="H24" s="7" t="s">
        <v>188</v>
      </c>
      <c r="I24" s="7" t="s">
        <v>232</v>
      </c>
      <c r="J24" s="8">
        <v>0.6</v>
      </c>
      <c r="K24" s="50">
        <f>J24*($B$4)</f>
        <v>2.4</v>
      </c>
      <c r="L24" s="7">
        <f t="shared" si="15"/>
        <v>0.48</v>
      </c>
      <c r="M24" s="7">
        <f t="shared" si="12"/>
        <v>14.399999999999999</v>
      </c>
      <c r="N24" s="7">
        <f t="shared" si="12"/>
        <v>19.2</v>
      </c>
      <c r="O24" s="50">
        <v>0</v>
      </c>
      <c r="P24" s="51">
        <f t="shared" si="16"/>
        <v>0</v>
      </c>
      <c r="Q24" s="51">
        <f t="shared" si="13"/>
        <v>0</v>
      </c>
      <c r="R24" s="52">
        <f t="shared" si="13"/>
        <v>0</v>
      </c>
      <c r="S24" s="50">
        <f t="shared" si="18"/>
        <v>80.399999999999991</v>
      </c>
      <c r="T24" s="53">
        <f t="shared" si="17"/>
        <v>16.079999999999998</v>
      </c>
      <c r="U24" s="53">
        <f t="shared" si="14"/>
        <v>482.4</v>
      </c>
      <c r="V24" s="53">
        <f t="shared" si="14"/>
        <v>643.19999999999993</v>
      </c>
    </row>
    <row r="25" spans="1:30" x14ac:dyDescent="0.2">
      <c r="A25" s="385"/>
      <c r="B25" s="385"/>
      <c r="C25" s="385"/>
      <c r="D25" s="7" t="s">
        <v>233</v>
      </c>
      <c r="E25" s="7">
        <v>0.2</v>
      </c>
      <c r="F25" s="7">
        <v>6</v>
      </c>
      <c r="G25" s="7">
        <v>8</v>
      </c>
      <c r="H25" s="7" t="s">
        <v>188</v>
      </c>
      <c r="I25" s="7" t="s">
        <v>234</v>
      </c>
      <c r="J25" s="8">
        <v>0.9</v>
      </c>
      <c r="K25" s="50">
        <f>$J$25*K24</f>
        <v>2.16</v>
      </c>
      <c r="L25" s="7">
        <f>+$K25*E25</f>
        <v>0.43200000000000005</v>
      </c>
      <c r="M25" s="7">
        <f t="shared" si="12"/>
        <v>12.96</v>
      </c>
      <c r="N25" s="7">
        <f>+$K25*G25</f>
        <v>17.28</v>
      </c>
      <c r="O25" s="50">
        <v>0</v>
      </c>
      <c r="P25" s="51">
        <f t="shared" si="16"/>
        <v>0</v>
      </c>
      <c r="Q25" s="51">
        <f t="shared" si="13"/>
        <v>0</v>
      </c>
      <c r="R25" s="52">
        <f>+$O25*G25</f>
        <v>0</v>
      </c>
      <c r="S25" s="50">
        <f>$J$25*S24</f>
        <v>72.36</v>
      </c>
      <c r="T25" s="53">
        <f t="shared" si="17"/>
        <v>14.472000000000001</v>
      </c>
      <c r="U25" s="53">
        <f t="shared" si="14"/>
        <v>434.15999999999997</v>
      </c>
      <c r="V25" s="53">
        <f>$S25*G25</f>
        <v>578.88</v>
      </c>
    </row>
    <row r="26" spans="1:30" x14ac:dyDescent="0.2">
      <c r="A26" s="385"/>
      <c r="B26" s="385"/>
      <c r="C26" s="394" t="s">
        <v>235</v>
      </c>
      <c r="D26" s="7" t="s">
        <v>236</v>
      </c>
      <c r="E26" s="7">
        <v>16</v>
      </c>
      <c r="F26" s="7">
        <v>24</v>
      </c>
      <c r="G26" s="7">
        <v>72</v>
      </c>
      <c r="H26" s="7" t="s">
        <v>237</v>
      </c>
      <c r="I26" s="7" t="s">
        <v>238</v>
      </c>
      <c r="J26" s="8">
        <v>0.1</v>
      </c>
      <c r="K26" s="50">
        <f>J26*($B$4)</f>
        <v>0.4</v>
      </c>
      <c r="L26" s="7">
        <f>+$K$26*E26</f>
        <v>6.4</v>
      </c>
      <c r="M26" s="7">
        <f t="shared" ref="M26" si="19">+$K$26*F26</f>
        <v>9.6000000000000014</v>
      </c>
      <c r="N26" s="7">
        <f>+$K$26*G26</f>
        <v>28.8</v>
      </c>
      <c r="O26" s="50">
        <v>0</v>
      </c>
      <c r="P26" s="51">
        <f>+$O26*E26</f>
        <v>0</v>
      </c>
      <c r="Q26" s="51">
        <f t="shared" ref="Q26:R29" si="20">+$O26*F26</f>
        <v>0</v>
      </c>
      <c r="R26" s="52">
        <f t="shared" si="20"/>
        <v>0</v>
      </c>
      <c r="S26" s="50">
        <f>J26*($B$6)</f>
        <v>13.4</v>
      </c>
      <c r="T26" s="53">
        <f>$S26*E26</f>
        <v>214.4</v>
      </c>
      <c r="U26" s="53">
        <f t="shared" ref="U26:V29" si="21">$S26*F26</f>
        <v>321.60000000000002</v>
      </c>
      <c r="V26" s="53">
        <f t="shared" si="21"/>
        <v>964.80000000000007</v>
      </c>
    </row>
    <row r="27" spans="1:30" ht="28.5" x14ac:dyDescent="0.2">
      <c r="A27" s="385"/>
      <c r="B27" s="385"/>
      <c r="C27" s="394"/>
      <c r="D27" s="10" t="s">
        <v>239</v>
      </c>
      <c r="E27" s="7">
        <v>2</v>
      </c>
      <c r="F27" s="7">
        <v>4</v>
      </c>
      <c r="G27" s="7">
        <v>8</v>
      </c>
      <c r="H27" s="7" t="s">
        <v>240</v>
      </c>
      <c r="I27" s="7" t="s">
        <v>241</v>
      </c>
      <c r="J27" s="8">
        <v>0.02</v>
      </c>
      <c r="K27" s="50">
        <f>J27*($B$4)</f>
        <v>0.08</v>
      </c>
      <c r="L27" s="7">
        <f>+$K$27*E27</f>
        <v>0.16</v>
      </c>
      <c r="M27" s="7">
        <f>+$K$27*F27</f>
        <v>0.32</v>
      </c>
      <c r="N27" s="7">
        <f>+$K$27*G27</f>
        <v>0.64</v>
      </c>
      <c r="O27" s="50">
        <v>0</v>
      </c>
      <c r="P27" s="51">
        <f t="shared" ref="P27:P29" si="22">+$O27*E27</f>
        <v>0</v>
      </c>
      <c r="Q27" s="51">
        <f t="shared" si="20"/>
        <v>0</v>
      </c>
      <c r="R27" s="52">
        <f t="shared" si="20"/>
        <v>0</v>
      </c>
      <c r="S27" s="50">
        <f>J27*($B$6)</f>
        <v>2.68</v>
      </c>
      <c r="T27" s="53">
        <f t="shared" ref="T27:T29" si="23">$S27*E27</f>
        <v>5.36</v>
      </c>
      <c r="U27" s="53">
        <f t="shared" si="21"/>
        <v>10.72</v>
      </c>
      <c r="V27" s="53">
        <f t="shared" si="21"/>
        <v>21.44</v>
      </c>
    </row>
    <row r="28" spans="1:30" x14ac:dyDescent="0.2">
      <c r="A28" s="385"/>
      <c r="B28" s="385"/>
      <c r="C28" s="394" t="s">
        <v>242</v>
      </c>
      <c r="D28" s="7" t="s">
        <v>243</v>
      </c>
      <c r="E28" s="7">
        <v>1</v>
      </c>
      <c r="F28" s="7">
        <v>4</v>
      </c>
      <c r="G28" s="7">
        <v>8</v>
      </c>
      <c r="H28" s="7" t="s">
        <v>244</v>
      </c>
      <c r="I28" s="7" t="s">
        <v>245</v>
      </c>
      <c r="J28" s="8">
        <v>0.01</v>
      </c>
      <c r="K28" s="50">
        <f>J28*($B$4)</f>
        <v>0.04</v>
      </c>
      <c r="L28" s="7">
        <f>+$K$28*E28</f>
        <v>0.04</v>
      </c>
      <c r="M28" s="7">
        <f t="shared" ref="M28:N28" si="24">+$K$28*F28</f>
        <v>0.16</v>
      </c>
      <c r="N28" s="7">
        <f t="shared" si="24"/>
        <v>0.32</v>
      </c>
      <c r="O28" s="50">
        <v>0</v>
      </c>
      <c r="P28" s="51">
        <f t="shared" si="22"/>
        <v>0</v>
      </c>
      <c r="Q28" s="51">
        <f t="shared" si="20"/>
        <v>0</v>
      </c>
      <c r="R28" s="52">
        <f t="shared" si="20"/>
        <v>0</v>
      </c>
      <c r="S28" s="50">
        <f>J28*($B$6)</f>
        <v>1.34</v>
      </c>
      <c r="T28" s="53">
        <f t="shared" si="23"/>
        <v>1.34</v>
      </c>
      <c r="U28" s="53">
        <f t="shared" si="21"/>
        <v>5.36</v>
      </c>
      <c r="V28" s="53">
        <f t="shared" si="21"/>
        <v>10.72</v>
      </c>
    </row>
    <row r="29" spans="1:30" ht="28.5" x14ac:dyDescent="0.2">
      <c r="A29" s="385"/>
      <c r="B29" s="385"/>
      <c r="C29" s="394"/>
      <c r="D29" s="10" t="s">
        <v>246</v>
      </c>
      <c r="E29" s="7">
        <v>8</v>
      </c>
      <c r="F29" s="7">
        <v>12</v>
      </c>
      <c r="G29" s="7">
        <v>24</v>
      </c>
      <c r="H29" s="7" t="s">
        <v>244</v>
      </c>
      <c r="I29" s="7" t="s">
        <v>245</v>
      </c>
      <c r="J29" s="8">
        <v>0.01</v>
      </c>
      <c r="K29" s="50">
        <f>J29*($B$4)</f>
        <v>0.04</v>
      </c>
      <c r="L29" s="7">
        <f>+$K$29*E29</f>
        <v>0.32</v>
      </c>
      <c r="M29" s="7">
        <f t="shared" ref="M29:N29" si="25">+$K$29*F29</f>
        <v>0.48</v>
      </c>
      <c r="N29" s="7">
        <f t="shared" si="25"/>
        <v>0.96</v>
      </c>
      <c r="O29" s="50">
        <v>0</v>
      </c>
      <c r="P29" s="51">
        <f t="shared" si="22"/>
        <v>0</v>
      </c>
      <c r="Q29" s="51">
        <f t="shared" si="20"/>
        <v>0</v>
      </c>
      <c r="R29" s="52">
        <f>+$O29*G29</f>
        <v>0</v>
      </c>
      <c r="S29" s="50">
        <f>J29*($B$6)</f>
        <v>1.34</v>
      </c>
      <c r="T29" s="53">
        <f t="shared" si="23"/>
        <v>10.72</v>
      </c>
      <c r="U29" s="53">
        <f t="shared" si="21"/>
        <v>16.080000000000002</v>
      </c>
      <c r="V29" s="53">
        <f>$S29*G29</f>
        <v>32.160000000000004</v>
      </c>
    </row>
    <row r="30" spans="1:30" x14ac:dyDescent="0.2">
      <c r="A30" s="385"/>
      <c r="B30" s="390" t="s">
        <v>197</v>
      </c>
      <c r="C30" s="390" t="s">
        <v>247</v>
      </c>
      <c r="D30" s="55" t="s">
        <v>227</v>
      </c>
      <c r="E30" s="55">
        <v>2</v>
      </c>
      <c r="F30" s="55">
        <v>6</v>
      </c>
      <c r="G30" s="55">
        <v>12</v>
      </c>
      <c r="H30" s="55" t="s">
        <v>188</v>
      </c>
      <c r="I30" s="55" t="s">
        <v>248</v>
      </c>
      <c r="J30" s="59">
        <v>0.02</v>
      </c>
      <c r="K30" s="50">
        <v>0</v>
      </c>
      <c r="L30" s="7">
        <f>+K30*E30</f>
        <v>0</v>
      </c>
      <c r="M30" s="7">
        <f t="shared" ref="M30:N39" si="26">+L30*F30</f>
        <v>0</v>
      </c>
      <c r="N30" s="7">
        <f t="shared" si="26"/>
        <v>0</v>
      </c>
      <c r="O30" s="50">
        <f>J30*($B$5)</f>
        <v>1.82</v>
      </c>
      <c r="P30" s="51">
        <f>+$O$30*E30</f>
        <v>3.64</v>
      </c>
      <c r="Q30" s="51">
        <f>+$O$30*F30</f>
        <v>10.92</v>
      </c>
      <c r="R30" s="52">
        <f>+$O$30*G30</f>
        <v>21.84</v>
      </c>
      <c r="S30" s="50">
        <f>J30*($B$6)</f>
        <v>2.68</v>
      </c>
      <c r="T30" s="53">
        <f>+$S30*E30</f>
        <v>5.36</v>
      </c>
      <c r="U30" s="53">
        <f t="shared" ref="U30:V34" si="27">+$S30*F30</f>
        <v>16.080000000000002</v>
      </c>
      <c r="V30" s="53">
        <f t="shared" si="27"/>
        <v>32.160000000000004</v>
      </c>
    </row>
    <row r="31" spans="1:30" x14ac:dyDescent="0.2">
      <c r="A31" s="385"/>
      <c r="B31" s="390"/>
      <c r="C31" s="390"/>
      <c r="D31" s="55" t="s">
        <v>229</v>
      </c>
      <c r="E31" s="55">
        <v>2</v>
      </c>
      <c r="F31" s="55">
        <v>8</v>
      </c>
      <c r="G31" s="55">
        <v>16</v>
      </c>
      <c r="H31" s="55" t="s">
        <v>188</v>
      </c>
      <c r="I31" s="55"/>
      <c r="J31" s="59">
        <v>0.02</v>
      </c>
      <c r="K31" s="60">
        <v>0</v>
      </c>
      <c r="L31" s="7">
        <f t="shared" ref="L31:L39" si="28">+K31*E31</f>
        <v>0</v>
      </c>
      <c r="M31" s="7">
        <f t="shared" si="26"/>
        <v>0</v>
      </c>
      <c r="N31" s="7">
        <f t="shared" si="26"/>
        <v>0</v>
      </c>
      <c r="O31" s="50">
        <f>J31*($B$5)</f>
        <v>1.82</v>
      </c>
      <c r="P31" s="51">
        <f>+$O$31*E31</f>
        <v>3.64</v>
      </c>
      <c r="Q31" s="51">
        <f>+$O$31*F31</f>
        <v>14.56</v>
      </c>
      <c r="R31" s="52">
        <f>+$O$31*G31</f>
        <v>29.12</v>
      </c>
      <c r="S31" s="50">
        <f t="shared" ref="S31" si="29">J31*($B$6)</f>
        <v>2.68</v>
      </c>
      <c r="T31" s="53">
        <f t="shared" ref="T31:T33" si="30">+$S31*E31</f>
        <v>5.36</v>
      </c>
      <c r="U31" s="53">
        <f t="shared" si="27"/>
        <v>21.44</v>
      </c>
      <c r="V31" s="53">
        <f t="shared" si="27"/>
        <v>42.88</v>
      </c>
    </row>
    <row r="32" spans="1:30" x14ac:dyDescent="0.2">
      <c r="A32" s="385"/>
      <c r="B32" s="390"/>
      <c r="C32" s="390"/>
      <c r="D32" s="55" t="s">
        <v>230</v>
      </c>
      <c r="E32" s="55">
        <v>8</v>
      </c>
      <c r="F32" s="55">
        <v>8</v>
      </c>
      <c r="G32" s="55">
        <v>24</v>
      </c>
      <c r="H32" s="55" t="s">
        <v>188</v>
      </c>
      <c r="I32" s="55"/>
      <c r="J32" s="59">
        <v>0.02</v>
      </c>
      <c r="K32" s="50">
        <v>0</v>
      </c>
      <c r="L32" s="7">
        <f t="shared" si="28"/>
        <v>0</v>
      </c>
      <c r="M32" s="7">
        <f t="shared" si="26"/>
        <v>0</v>
      </c>
      <c r="N32" s="7">
        <f t="shared" si="26"/>
        <v>0</v>
      </c>
      <c r="O32" s="50">
        <f>J32*($B$5)</f>
        <v>1.82</v>
      </c>
      <c r="P32" s="51">
        <f>+$O$32*E32</f>
        <v>14.56</v>
      </c>
      <c r="Q32" s="51">
        <f>+$O$32*F32</f>
        <v>14.56</v>
      </c>
      <c r="R32" s="52">
        <f>+$O$32*G32</f>
        <v>43.68</v>
      </c>
      <c r="S32" s="50">
        <f>J32*($B$6)</f>
        <v>2.68</v>
      </c>
      <c r="T32" s="53">
        <f t="shared" si="30"/>
        <v>21.44</v>
      </c>
      <c r="U32" s="53">
        <f t="shared" si="27"/>
        <v>21.44</v>
      </c>
      <c r="V32" s="53">
        <f t="shared" si="27"/>
        <v>64.320000000000007</v>
      </c>
    </row>
    <row r="33" spans="1:22" x14ac:dyDescent="0.2">
      <c r="A33" s="385"/>
      <c r="B33" s="390"/>
      <c r="C33" s="390"/>
      <c r="D33" s="55" t="s">
        <v>249</v>
      </c>
      <c r="E33" s="55">
        <v>0.2</v>
      </c>
      <c r="F33" s="55">
        <v>4</v>
      </c>
      <c r="G33" s="55">
        <v>8</v>
      </c>
      <c r="H33" s="55" t="s">
        <v>188</v>
      </c>
      <c r="I33" s="55" t="s">
        <v>250</v>
      </c>
      <c r="J33" s="59">
        <v>0.2</v>
      </c>
      <c r="K33" s="50">
        <v>0</v>
      </c>
      <c r="L33" s="7">
        <f t="shared" si="28"/>
        <v>0</v>
      </c>
      <c r="M33" s="7">
        <f t="shared" si="26"/>
        <v>0</v>
      </c>
      <c r="N33" s="7">
        <f t="shared" si="26"/>
        <v>0</v>
      </c>
      <c r="O33" s="50">
        <f>J33*O32</f>
        <v>0.36400000000000005</v>
      </c>
      <c r="P33" s="51">
        <f>+$O$33*E33</f>
        <v>7.2800000000000017E-2</v>
      </c>
      <c r="Q33" s="51">
        <f>+$O$33*F33</f>
        <v>1.4560000000000002</v>
      </c>
      <c r="R33" s="52">
        <f>+$O$33*G33</f>
        <v>2.9120000000000004</v>
      </c>
      <c r="S33" s="50">
        <f>+J33*S32</f>
        <v>0.53600000000000003</v>
      </c>
      <c r="T33" s="53">
        <f t="shared" si="30"/>
        <v>0.10720000000000002</v>
      </c>
      <c r="U33" s="53">
        <f t="shared" si="27"/>
        <v>2.1440000000000001</v>
      </c>
      <c r="V33" s="53">
        <f t="shared" si="27"/>
        <v>4.2880000000000003</v>
      </c>
    </row>
    <row r="34" spans="1:22" x14ac:dyDescent="0.2">
      <c r="A34" s="385"/>
      <c r="B34" s="390"/>
      <c r="C34" s="390"/>
      <c r="D34" s="55" t="s">
        <v>233</v>
      </c>
      <c r="E34" s="55">
        <v>0.2</v>
      </c>
      <c r="F34" s="55">
        <v>4</v>
      </c>
      <c r="G34" s="55">
        <v>8</v>
      </c>
      <c r="H34" s="55" t="s">
        <v>188</v>
      </c>
      <c r="I34" s="55" t="s">
        <v>251</v>
      </c>
      <c r="J34" s="59">
        <v>0.9</v>
      </c>
      <c r="K34" s="50">
        <v>0</v>
      </c>
      <c r="L34" s="7">
        <f t="shared" si="28"/>
        <v>0</v>
      </c>
      <c r="M34" s="7">
        <f t="shared" si="26"/>
        <v>0</v>
      </c>
      <c r="N34" s="7">
        <f t="shared" si="26"/>
        <v>0</v>
      </c>
      <c r="O34" s="50">
        <f>+J34*O33</f>
        <v>0.32760000000000006</v>
      </c>
      <c r="P34" s="51">
        <f>+$O$34*E34</f>
        <v>6.5520000000000009E-2</v>
      </c>
      <c r="Q34" s="51">
        <f>+$O$34*F34</f>
        <v>1.3104000000000002</v>
      </c>
      <c r="R34" s="52">
        <f>+$O$34*G34</f>
        <v>2.6208000000000005</v>
      </c>
      <c r="S34" s="50">
        <f>+J34*S33</f>
        <v>0.48240000000000005</v>
      </c>
      <c r="T34" s="53">
        <f>+$S34*E34</f>
        <v>9.648000000000001E-2</v>
      </c>
      <c r="U34" s="53">
        <f t="shared" si="27"/>
        <v>1.9296000000000002</v>
      </c>
      <c r="V34" s="53">
        <f>+$S34*G34</f>
        <v>3.8592000000000004</v>
      </c>
    </row>
    <row r="35" spans="1:22" x14ac:dyDescent="0.2">
      <c r="A35" s="385"/>
      <c r="B35" s="390"/>
      <c r="C35" s="390" t="s">
        <v>252</v>
      </c>
      <c r="D35" s="55" t="s">
        <v>227</v>
      </c>
      <c r="E35" s="55">
        <v>2</v>
      </c>
      <c r="F35" s="55">
        <v>6</v>
      </c>
      <c r="G35" s="55">
        <v>12</v>
      </c>
      <c r="H35" s="55" t="s">
        <v>188</v>
      </c>
      <c r="I35" s="55" t="s">
        <v>253</v>
      </c>
      <c r="J35" s="59">
        <v>0.03</v>
      </c>
      <c r="K35" s="50">
        <v>0</v>
      </c>
      <c r="L35" s="7">
        <f t="shared" si="28"/>
        <v>0</v>
      </c>
      <c r="M35" s="7">
        <f t="shared" si="26"/>
        <v>0</v>
      </c>
      <c r="N35" s="7">
        <f t="shared" si="26"/>
        <v>0</v>
      </c>
      <c r="O35" s="50">
        <f>J35*($B$5)</f>
        <v>2.73</v>
      </c>
      <c r="P35" s="51">
        <f t="shared" ref="P35:R39" si="31">+$O35*E35</f>
        <v>5.46</v>
      </c>
      <c r="Q35" s="51">
        <f t="shared" si="31"/>
        <v>16.38</v>
      </c>
      <c r="R35" s="52">
        <f t="shared" si="31"/>
        <v>32.76</v>
      </c>
      <c r="S35" s="50">
        <f>J35*($B$6)</f>
        <v>4.0199999999999996</v>
      </c>
      <c r="T35" s="53">
        <f>+$S35*E35</f>
        <v>8.0399999999999991</v>
      </c>
      <c r="U35" s="53">
        <f t="shared" ref="U35:V39" si="32">+$S35*F35</f>
        <v>24.119999999999997</v>
      </c>
      <c r="V35" s="53">
        <f t="shared" si="32"/>
        <v>48.239999999999995</v>
      </c>
    </row>
    <row r="36" spans="1:22" x14ac:dyDescent="0.2">
      <c r="A36" s="385"/>
      <c r="B36" s="390"/>
      <c r="C36" s="390"/>
      <c r="D36" s="55" t="s">
        <v>229</v>
      </c>
      <c r="E36" s="55">
        <v>2</v>
      </c>
      <c r="F36" s="55">
        <v>6</v>
      </c>
      <c r="G36" s="55">
        <v>8</v>
      </c>
      <c r="H36" s="55" t="s">
        <v>188</v>
      </c>
      <c r="I36" s="55"/>
      <c r="J36" s="59">
        <v>0.03</v>
      </c>
      <c r="K36" s="50">
        <v>0</v>
      </c>
      <c r="L36" s="7">
        <f t="shared" si="28"/>
        <v>0</v>
      </c>
      <c r="M36" s="7">
        <f t="shared" si="26"/>
        <v>0</v>
      </c>
      <c r="N36" s="7">
        <f t="shared" si="26"/>
        <v>0</v>
      </c>
      <c r="O36" s="50">
        <f>J36*($B$5)</f>
        <v>2.73</v>
      </c>
      <c r="P36" s="51">
        <f t="shared" si="31"/>
        <v>5.46</v>
      </c>
      <c r="Q36" s="51">
        <f t="shared" si="31"/>
        <v>16.38</v>
      </c>
      <c r="R36" s="52">
        <f t="shared" si="31"/>
        <v>21.84</v>
      </c>
      <c r="S36" s="50">
        <f>J36*($B$6)</f>
        <v>4.0199999999999996</v>
      </c>
      <c r="T36" s="53">
        <f t="shared" ref="T36:T39" si="33">+$S36*E36</f>
        <v>8.0399999999999991</v>
      </c>
      <c r="U36" s="53">
        <f t="shared" si="32"/>
        <v>24.119999999999997</v>
      </c>
      <c r="V36" s="53">
        <f t="shared" si="32"/>
        <v>32.159999999999997</v>
      </c>
    </row>
    <row r="37" spans="1:22" x14ac:dyDescent="0.2">
      <c r="A37" s="385"/>
      <c r="B37" s="390"/>
      <c r="C37" s="390"/>
      <c r="D37" s="55" t="s">
        <v>230</v>
      </c>
      <c r="E37" s="55">
        <v>8</v>
      </c>
      <c r="F37" s="55">
        <v>8</v>
      </c>
      <c r="G37" s="55">
        <v>24</v>
      </c>
      <c r="H37" s="55" t="s">
        <v>188</v>
      </c>
      <c r="I37" s="55"/>
      <c r="J37" s="59">
        <v>0.03</v>
      </c>
      <c r="K37" s="50">
        <v>0</v>
      </c>
      <c r="L37" s="7">
        <f t="shared" si="28"/>
        <v>0</v>
      </c>
      <c r="M37" s="7">
        <f t="shared" si="26"/>
        <v>0</v>
      </c>
      <c r="N37" s="7">
        <f t="shared" si="26"/>
        <v>0</v>
      </c>
      <c r="O37" s="50">
        <f>J37*($B$5)</f>
        <v>2.73</v>
      </c>
      <c r="P37" s="51">
        <f t="shared" si="31"/>
        <v>21.84</v>
      </c>
      <c r="Q37" s="51">
        <f t="shared" si="31"/>
        <v>21.84</v>
      </c>
      <c r="R37" s="52">
        <f t="shared" si="31"/>
        <v>65.52</v>
      </c>
      <c r="S37" s="50">
        <f>J37*($B$6)</f>
        <v>4.0199999999999996</v>
      </c>
      <c r="T37" s="53">
        <f t="shared" si="33"/>
        <v>32.159999999999997</v>
      </c>
      <c r="U37" s="53">
        <f t="shared" si="32"/>
        <v>32.159999999999997</v>
      </c>
      <c r="V37" s="53">
        <f t="shared" si="32"/>
        <v>96.47999999999999</v>
      </c>
    </row>
    <row r="38" spans="1:22" x14ac:dyDescent="0.2">
      <c r="A38" s="385"/>
      <c r="B38" s="390"/>
      <c r="C38" s="390"/>
      <c r="D38" s="55" t="s">
        <v>249</v>
      </c>
      <c r="E38" s="55">
        <v>0.2</v>
      </c>
      <c r="F38" s="55">
        <v>4</v>
      </c>
      <c r="G38" s="55">
        <v>8</v>
      </c>
      <c r="H38" s="55" t="s">
        <v>188</v>
      </c>
      <c r="I38" s="55" t="s">
        <v>250</v>
      </c>
      <c r="J38" s="59">
        <v>0.2</v>
      </c>
      <c r="K38" s="50">
        <v>0</v>
      </c>
      <c r="L38" s="7">
        <f t="shared" si="28"/>
        <v>0</v>
      </c>
      <c r="M38" s="7">
        <f t="shared" si="26"/>
        <v>0</v>
      </c>
      <c r="N38" s="7">
        <f t="shared" si="26"/>
        <v>0</v>
      </c>
      <c r="O38" s="50">
        <f>+J38*O37</f>
        <v>0.54600000000000004</v>
      </c>
      <c r="P38" s="51">
        <f t="shared" si="31"/>
        <v>0.10920000000000002</v>
      </c>
      <c r="Q38" s="51">
        <f t="shared" si="31"/>
        <v>2.1840000000000002</v>
      </c>
      <c r="R38" s="52">
        <f t="shared" si="31"/>
        <v>4.3680000000000003</v>
      </c>
      <c r="S38" s="50">
        <f>J38*S37</f>
        <v>0.80399999999999994</v>
      </c>
      <c r="T38" s="53">
        <f t="shared" si="33"/>
        <v>0.1608</v>
      </c>
      <c r="U38" s="53">
        <f t="shared" si="32"/>
        <v>3.2159999999999997</v>
      </c>
      <c r="V38" s="53">
        <f t="shared" si="32"/>
        <v>6.4319999999999995</v>
      </c>
    </row>
    <row r="39" spans="1:22" ht="16.350000000000001" customHeight="1" x14ac:dyDescent="0.2">
      <c r="A39" s="385"/>
      <c r="B39" s="390"/>
      <c r="C39" s="390"/>
      <c r="D39" s="55" t="s">
        <v>254</v>
      </c>
      <c r="E39" s="55">
        <v>0.2</v>
      </c>
      <c r="F39" s="55">
        <v>4</v>
      </c>
      <c r="G39" s="55">
        <v>8</v>
      </c>
      <c r="H39" s="55" t="s">
        <v>188</v>
      </c>
      <c r="I39" s="55" t="s">
        <v>255</v>
      </c>
      <c r="J39" s="59">
        <v>0.7</v>
      </c>
      <c r="K39" s="50">
        <v>0</v>
      </c>
      <c r="L39" s="7">
        <f t="shared" si="28"/>
        <v>0</v>
      </c>
      <c r="M39" s="7">
        <f t="shared" si="26"/>
        <v>0</v>
      </c>
      <c r="N39" s="7">
        <f t="shared" si="26"/>
        <v>0</v>
      </c>
      <c r="O39" s="50">
        <f>+J39*O38</f>
        <v>0.38219999999999998</v>
      </c>
      <c r="P39" s="51">
        <f t="shared" si="31"/>
        <v>7.6440000000000008E-2</v>
      </c>
      <c r="Q39" s="51">
        <f t="shared" si="31"/>
        <v>1.5287999999999999</v>
      </c>
      <c r="R39" s="52">
        <f t="shared" si="31"/>
        <v>3.0575999999999999</v>
      </c>
      <c r="S39" s="50">
        <f>J39*S38</f>
        <v>0.56279999999999997</v>
      </c>
      <c r="T39" s="53">
        <f t="shared" si="33"/>
        <v>0.11255999999999999</v>
      </c>
      <c r="U39" s="53">
        <f t="shared" si="32"/>
        <v>2.2511999999999999</v>
      </c>
      <c r="V39" s="53">
        <f>+$S39*G39</f>
        <v>4.5023999999999997</v>
      </c>
    </row>
    <row r="40" spans="1:22" x14ac:dyDescent="0.2">
      <c r="A40" s="385"/>
      <c r="B40" s="390"/>
      <c r="C40" s="390" t="s">
        <v>242</v>
      </c>
      <c r="D40" s="55" t="s">
        <v>243</v>
      </c>
      <c r="E40" s="55">
        <v>1</v>
      </c>
      <c r="F40" s="55">
        <v>4</v>
      </c>
      <c r="G40" s="55">
        <v>8</v>
      </c>
      <c r="H40" s="55" t="s">
        <v>244</v>
      </c>
      <c r="I40" s="55" t="s">
        <v>245</v>
      </c>
      <c r="J40" s="59">
        <v>0.01</v>
      </c>
      <c r="K40" s="50">
        <v>0</v>
      </c>
      <c r="L40" s="7">
        <f>+$K40*E40</f>
        <v>0</v>
      </c>
      <c r="M40" s="7">
        <f t="shared" ref="M40:N41" si="34">+$K40*F40</f>
        <v>0</v>
      </c>
      <c r="N40" s="7">
        <f t="shared" si="34"/>
        <v>0</v>
      </c>
      <c r="O40" s="50">
        <f>J40*($B$5)</f>
        <v>0.91</v>
      </c>
      <c r="P40" s="51">
        <f t="shared" ref="P40:R41" si="35">+$O40*E40</f>
        <v>0.91</v>
      </c>
      <c r="Q40" s="51">
        <f t="shared" si="35"/>
        <v>3.64</v>
      </c>
      <c r="R40" s="52">
        <f t="shared" si="35"/>
        <v>7.28</v>
      </c>
      <c r="S40" s="50">
        <f>J40*($B$6)</f>
        <v>1.34</v>
      </c>
      <c r="T40" s="53">
        <f>+$S40*E40</f>
        <v>1.34</v>
      </c>
      <c r="U40" s="53">
        <f t="shared" ref="U40:V41" si="36">+$S40*F40</f>
        <v>5.36</v>
      </c>
      <c r="V40" s="53">
        <f t="shared" si="36"/>
        <v>10.72</v>
      </c>
    </row>
    <row r="41" spans="1:22" ht="28.5" x14ac:dyDescent="0.2">
      <c r="A41" s="385"/>
      <c r="B41" s="390"/>
      <c r="C41" s="390"/>
      <c r="D41" s="61" t="s">
        <v>246</v>
      </c>
      <c r="E41" s="55">
        <v>8</v>
      </c>
      <c r="F41" s="55">
        <v>12</v>
      </c>
      <c r="G41" s="55">
        <v>24</v>
      </c>
      <c r="H41" s="55" t="s">
        <v>244</v>
      </c>
      <c r="I41" s="55" t="s">
        <v>245</v>
      </c>
      <c r="J41" s="59">
        <v>0.01</v>
      </c>
      <c r="K41" s="50">
        <v>0</v>
      </c>
      <c r="L41" s="7">
        <f>+$K41*E41</f>
        <v>0</v>
      </c>
      <c r="M41" s="7">
        <f t="shared" si="34"/>
        <v>0</v>
      </c>
      <c r="N41" s="7">
        <f>+$K41*G41</f>
        <v>0</v>
      </c>
      <c r="O41" s="50">
        <f>J41*($B$5)</f>
        <v>0.91</v>
      </c>
      <c r="P41" s="51">
        <f t="shared" si="35"/>
        <v>7.28</v>
      </c>
      <c r="Q41" s="51">
        <f t="shared" si="35"/>
        <v>10.92</v>
      </c>
      <c r="R41" s="52">
        <f t="shared" si="35"/>
        <v>21.84</v>
      </c>
      <c r="S41" s="50">
        <f>J41*($B$6)</f>
        <v>1.34</v>
      </c>
      <c r="T41" s="53">
        <f>+$S41*E41</f>
        <v>10.72</v>
      </c>
      <c r="U41" s="53">
        <f t="shared" si="36"/>
        <v>16.080000000000002</v>
      </c>
      <c r="V41" s="53">
        <f>+$S41*G41</f>
        <v>32.160000000000004</v>
      </c>
    </row>
    <row r="42" spans="1:22" ht="15" x14ac:dyDescent="0.25">
      <c r="A42" s="391" t="s">
        <v>201</v>
      </c>
      <c r="B42" s="391"/>
      <c r="C42" s="391"/>
      <c r="D42" s="391"/>
      <c r="E42" s="391"/>
      <c r="F42" s="391"/>
      <c r="G42" s="391"/>
      <c r="H42" s="391"/>
      <c r="I42" s="391"/>
      <c r="J42" s="391"/>
      <c r="K42" s="391"/>
      <c r="L42" s="39">
        <f>+SUM(L11:L41)</f>
        <v>68.254028985507247</v>
      </c>
      <c r="M42" s="39">
        <f>+SUM(M11:M41)</f>
        <v>192.57275362318839</v>
      </c>
      <c r="N42" s="39">
        <f>+SUM(N11:N41)</f>
        <v>397.37507246376805</v>
      </c>
      <c r="O42" s="40"/>
      <c r="P42" s="39">
        <f>+SUM(P11:P41)</f>
        <v>122.76196</v>
      </c>
      <c r="Q42" s="39">
        <f>+SUM(Q11:Q41)</f>
        <v>746.96919999999989</v>
      </c>
      <c r="R42" s="39">
        <f>+SUM(R11:R41)</f>
        <v>1131.4184</v>
      </c>
      <c r="S42" s="40"/>
      <c r="T42" s="39">
        <f>+SUM(T11:T41)</f>
        <v>2444.599011014493</v>
      </c>
      <c r="U42" s="39">
        <f>+SUM(U11:U41)</f>
        <v>7518.9880463768095</v>
      </c>
      <c r="V42" s="39">
        <f>+SUM(V11:V41)</f>
        <v>14925.186527536229</v>
      </c>
    </row>
    <row r="44" spans="1:22" x14ac:dyDescent="0.2">
      <c r="A44" s="70" t="s">
        <v>202</v>
      </c>
    </row>
  </sheetData>
  <sheetProtection algorithmName="SHA-512" hashValue="ZR7eCJf7CVRAWu9TsqfIaoFpUBdP7AEQAnnzdj+J0D2aHUdX5q87E7FgwalzsW2a8N/AEpqUni/hludmE2WnjA==" saltValue="vXQAwQiZXHxPqrsOEb0DDw==" spinCount="100000" sheet="1" objects="1" scenarios="1"/>
  <mergeCells count="29">
    <mergeCell ref="C30:C34"/>
    <mergeCell ref="C35:C39"/>
    <mergeCell ref="C40:C41"/>
    <mergeCell ref="A21:A41"/>
    <mergeCell ref="B21:B29"/>
    <mergeCell ref="A2:B2"/>
    <mergeCell ref="A8:D8"/>
    <mergeCell ref="E8:G8"/>
    <mergeCell ref="H8:K8"/>
    <mergeCell ref="A9:A10"/>
    <mergeCell ref="B9:C10"/>
    <mergeCell ref="D9:D10"/>
    <mergeCell ref="E9:G9"/>
    <mergeCell ref="X16:AB16"/>
    <mergeCell ref="A42:K42"/>
    <mergeCell ref="X8:AA8"/>
    <mergeCell ref="H9:J9"/>
    <mergeCell ref="K9:N9"/>
    <mergeCell ref="O9:R9"/>
    <mergeCell ref="S9:V9"/>
    <mergeCell ref="H10:I10"/>
    <mergeCell ref="L8:V8"/>
    <mergeCell ref="B16:C20"/>
    <mergeCell ref="C28:C29"/>
    <mergeCell ref="C21:C25"/>
    <mergeCell ref="C26:C27"/>
    <mergeCell ref="A11:A20"/>
    <mergeCell ref="B11:C15"/>
    <mergeCell ref="B30:B4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44"/>
  <sheetViews>
    <sheetView zoomScale="68" zoomScaleNormal="68" workbookViewId="0">
      <selection activeCell="D16" sqref="D16"/>
    </sheetView>
  </sheetViews>
  <sheetFormatPr baseColWidth="10" defaultColWidth="10.125" defaultRowHeight="14.25" x14ac:dyDescent="0.25"/>
  <cols>
    <col min="1" max="1" width="14.625" style="11" customWidth="1"/>
    <col min="2" max="2" width="16.625" style="11" bestFit="1" customWidth="1"/>
    <col min="3" max="3" width="19.125" style="11" customWidth="1"/>
    <col min="4" max="4" width="72.125" style="11" bestFit="1" customWidth="1"/>
    <col min="5" max="5" width="5.125" style="11" customWidth="1"/>
    <col min="6" max="7" width="4.625" style="11" customWidth="1"/>
    <col min="8" max="8" width="32.5" style="11" bestFit="1" customWidth="1"/>
    <col min="9" max="9" width="19.125" style="11" customWidth="1"/>
    <col min="10" max="20" width="10.125" style="11" customWidth="1"/>
    <col min="21" max="23" width="10.125" style="11"/>
    <col min="24" max="24" width="44.5" style="11" customWidth="1"/>
    <col min="25" max="27" width="10" style="11" bestFit="1" customWidth="1"/>
    <col min="28" max="28" width="18" style="11" customWidth="1"/>
    <col min="29" max="16384" width="10.125" style="11"/>
  </cols>
  <sheetData>
    <row r="1" spans="1:28" ht="18" x14ac:dyDescent="0.25">
      <c r="A1" s="3" t="s">
        <v>112</v>
      </c>
      <c r="B1" s="1"/>
      <c r="X1" s="1"/>
      <c r="Y1" s="1"/>
      <c r="Z1" s="1"/>
      <c r="AA1" s="1"/>
      <c r="AB1" s="1"/>
    </row>
    <row r="2" spans="1:28" ht="15" x14ac:dyDescent="0.25">
      <c r="A2" s="365" t="s">
        <v>114</v>
      </c>
      <c r="B2" s="365"/>
      <c r="X2" s="362" t="s">
        <v>113</v>
      </c>
      <c r="Y2" s="363"/>
      <c r="Z2" s="363"/>
      <c r="AA2" s="364"/>
      <c r="AB2" s="1"/>
    </row>
    <row r="3" spans="1:28" ht="15" x14ac:dyDescent="0.25">
      <c r="A3" s="4" t="s">
        <v>119</v>
      </c>
      <c r="B3" s="4">
        <f>+SUM(B4:B6)</f>
        <v>7677</v>
      </c>
      <c r="C3" s="295" t="s">
        <v>203</v>
      </c>
      <c r="X3" s="27" t="s">
        <v>115</v>
      </c>
      <c r="Y3" s="27" t="s">
        <v>116</v>
      </c>
      <c r="Z3" s="27" t="s">
        <v>117</v>
      </c>
      <c r="AA3" s="27" t="s">
        <v>118</v>
      </c>
      <c r="AB3" s="1"/>
    </row>
    <row r="4" spans="1:28" ht="15" x14ac:dyDescent="0.25">
      <c r="A4" s="259" t="s">
        <v>121</v>
      </c>
      <c r="B4" s="254">
        <v>80</v>
      </c>
      <c r="C4" s="295"/>
      <c r="X4" s="5" t="s">
        <v>121</v>
      </c>
      <c r="Y4" s="26">
        <f>+L42</f>
        <v>1856.1307901907355</v>
      </c>
      <c r="Z4" s="26">
        <f t="shared" ref="Z4:AA4" si="0">+M42</f>
        <v>6959.4005449591286</v>
      </c>
      <c r="AA4" s="26">
        <f t="shared" si="0"/>
        <v>378772.20708446862</v>
      </c>
      <c r="AB4" s="1"/>
    </row>
    <row r="5" spans="1:28" ht="15" x14ac:dyDescent="0.25">
      <c r="A5" s="259" t="s">
        <v>122</v>
      </c>
      <c r="B5" s="254">
        <v>337</v>
      </c>
      <c r="C5" s="295"/>
      <c r="X5" s="7" t="s">
        <v>122</v>
      </c>
      <c r="Y5" s="25">
        <f>+P42</f>
        <v>63309.62131209689</v>
      </c>
      <c r="Z5" s="25">
        <f t="shared" ref="Z5:AA5" si="1">+Q42</f>
        <v>79978.96473686985</v>
      </c>
      <c r="AA5" s="25">
        <f t="shared" si="1"/>
        <v>97098.233547979471</v>
      </c>
      <c r="AB5" s="1"/>
    </row>
    <row r="6" spans="1:28" ht="15" x14ac:dyDescent="0.25">
      <c r="A6" s="259" t="s">
        <v>123</v>
      </c>
      <c r="B6" s="254">
        <v>7260</v>
      </c>
      <c r="C6" s="295"/>
      <c r="X6" s="5" t="s">
        <v>123</v>
      </c>
      <c r="Y6" s="5">
        <f>+T42</f>
        <v>1532324.7318977125</v>
      </c>
      <c r="Z6" s="5">
        <f t="shared" ref="Z6:AA6" si="2">+U42</f>
        <v>1937203.4827999144</v>
      </c>
      <c r="AA6" s="5">
        <f t="shared" si="2"/>
        <v>2356522.6722394871</v>
      </c>
    </row>
    <row r="7" spans="1:28" ht="15" x14ac:dyDescent="0.25">
      <c r="A7" s="64"/>
      <c r="B7" s="65"/>
    </row>
    <row r="8" spans="1:28" ht="15" x14ac:dyDescent="0.25">
      <c r="A8" s="64"/>
      <c r="B8" s="65"/>
    </row>
    <row r="9" spans="1:28" ht="15" x14ac:dyDescent="0.25">
      <c r="A9" s="64"/>
      <c r="B9" s="65"/>
    </row>
    <row r="10" spans="1:28" ht="15" x14ac:dyDescent="0.25">
      <c r="A10" s="365" t="s">
        <v>125</v>
      </c>
      <c r="B10" s="365"/>
      <c r="C10" s="365"/>
      <c r="D10" s="365"/>
      <c r="E10" s="365" t="s">
        <v>126</v>
      </c>
      <c r="F10" s="365"/>
      <c r="G10" s="365"/>
      <c r="H10" s="365" t="s">
        <v>127</v>
      </c>
      <c r="I10" s="365"/>
      <c r="J10" s="365"/>
      <c r="K10" s="365"/>
      <c r="L10" s="365" t="s">
        <v>128</v>
      </c>
      <c r="M10" s="365"/>
      <c r="N10" s="365"/>
      <c r="O10" s="365"/>
      <c r="P10" s="365"/>
      <c r="Q10" s="365"/>
      <c r="R10" s="365"/>
      <c r="S10" s="365"/>
      <c r="T10" s="365"/>
      <c r="U10" s="365"/>
      <c r="V10" s="365"/>
      <c r="X10" s="365" t="s">
        <v>124</v>
      </c>
      <c r="Y10" s="365"/>
      <c r="Z10" s="365"/>
      <c r="AA10" s="365"/>
      <c r="AB10" s="365"/>
    </row>
    <row r="11" spans="1:28" ht="27.6" customHeight="1" x14ac:dyDescent="0.25">
      <c r="A11" s="373" t="s">
        <v>131</v>
      </c>
      <c r="B11" s="375" t="s">
        <v>132</v>
      </c>
      <c r="C11" s="376"/>
      <c r="D11" s="373" t="s">
        <v>133</v>
      </c>
      <c r="E11" s="374" t="s">
        <v>134</v>
      </c>
      <c r="F11" s="374"/>
      <c r="G11" s="374"/>
      <c r="H11" s="369" t="s">
        <v>135</v>
      </c>
      <c r="I11" s="369"/>
      <c r="J11" s="369"/>
      <c r="K11" s="369" t="s">
        <v>204</v>
      </c>
      <c r="L11" s="369"/>
      <c r="M11" s="369"/>
      <c r="N11" s="369"/>
      <c r="O11" s="369" t="s">
        <v>205</v>
      </c>
      <c r="P11" s="369"/>
      <c r="Q11" s="369"/>
      <c r="R11" s="369"/>
      <c r="S11" s="369" t="s">
        <v>206</v>
      </c>
      <c r="T11" s="369"/>
      <c r="U11" s="369"/>
      <c r="V11" s="369"/>
      <c r="X11" s="4" t="s">
        <v>129</v>
      </c>
      <c r="Y11" s="27">
        <f>+SUM(Y4:Y6)</f>
        <v>1597490.4840000002</v>
      </c>
      <c r="Z11" s="27">
        <f>+SUM(Z4:Z6)</f>
        <v>2024141.8480817433</v>
      </c>
      <c r="AA11" s="27">
        <f>+SUM(AA4:AA6)</f>
        <v>2832393.1128719351</v>
      </c>
      <c r="AB11" s="28" t="s">
        <v>130</v>
      </c>
    </row>
    <row r="12" spans="1:28" s="12" customFormat="1" ht="30" x14ac:dyDescent="0.25">
      <c r="A12" s="374"/>
      <c r="B12" s="377"/>
      <c r="C12" s="378"/>
      <c r="D12" s="374"/>
      <c r="E12" s="27" t="s">
        <v>140</v>
      </c>
      <c r="F12" s="27" t="s">
        <v>117</v>
      </c>
      <c r="G12" s="27" t="s">
        <v>118</v>
      </c>
      <c r="H12" s="372" t="s">
        <v>141</v>
      </c>
      <c r="I12" s="372"/>
      <c r="J12" s="27" t="s">
        <v>142</v>
      </c>
      <c r="K12" s="28" t="s">
        <v>143</v>
      </c>
      <c r="L12" s="27" t="s">
        <v>116</v>
      </c>
      <c r="M12" s="27" t="s">
        <v>117</v>
      </c>
      <c r="N12" s="27" t="s">
        <v>118</v>
      </c>
      <c r="O12" s="28" t="s">
        <v>143</v>
      </c>
      <c r="P12" s="27" t="s">
        <v>116</v>
      </c>
      <c r="Q12" s="27" t="s">
        <v>117</v>
      </c>
      <c r="R12" s="27" t="s">
        <v>118</v>
      </c>
      <c r="S12" s="28" t="s">
        <v>143</v>
      </c>
      <c r="T12" s="27" t="s">
        <v>116</v>
      </c>
      <c r="U12" s="27" t="s">
        <v>117</v>
      </c>
      <c r="V12" s="27" t="s">
        <v>118</v>
      </c>
      <c r="X12" s="5" t="s">
        <v>139</v>
      </c>
      <c r="Y12" s="66">
        <f>+Y4/Y11</f>
        <v>1.1619041294963577E-3</v>
      </c>
      <c r="Z12" s="66">
        <f>+Z4/Z11</f>
        <v>3.438198045040408E-3</v>
      </c>
      <c r="AA12" s="66">
        <f>+AA4/AA11</f>
        <v>0.13372868524609866</v>
      </c>
      <c r="AB12" s="30">
        <f>+AVERAGE(Y12:AA12)</f>
        <v>4.6109595806878477E-2</v>
      </c>
    </row>
    <row r="13" spans="1:28" ht="15" customHeight="1" x14ac:dyDescent="0.25">
      <c r="A13" s="385" t="s">
        <v>207</v>
      </c>
      <c r="B13" s="388" t="s">
        <v>146</v>
      </c>
      <c r="C13" s="388"/>
      <c r="D13" s="5" t="s">
        <v>256</v>
      </c>
      <c r="E13" s="5">
        <v>40</v>
      </c>
      <c r="F13" s="5">
        <v>60</v>
      </c>
      <c r="G13" s="5">
        <v>80</v>
      </c>
      <c r="H13" s="5" t="s">
        <v>257</v>
      </c>
      <c r="I13" s="5">
        <v>290</v>
      </c>
      <c r="J13" s="20"/>
      <c r="K13" s="32">
        <f>+I13*(B4/(B4+B6))</f>
        <v>3.1607629427792916</v>
      </c>
      <c r="L13" s="5">
        <f t="shared" ref="L13:N14" si="3">+$K13*E13</f>
        <v>126.43051771117166</v>
      </c>
      <c r="M13" s="5">
        <f t="shared" si="3"/>
        <v>189.64577656675749</v>
      </c>
      <c r="N13" s="5">
        <f t="shared" si="3"/>
        <v>252.86103542234332</v>
      </c>
      <c r="O13" s="32">
        <v>0</v>
      </c>
      <c r="P13" s="33">
        <f>+O13*E13</f>
        <v>0</v>
      </c>
      <c r="Q13" s="33">
        <f t="shared" ref="Q13:R14" si="4">+P13*F13</f>
        <v>0</v>
      </c>
      <c r="R13" s="33">
        <f t="shared" si="4"/>
        <v>0</v>
      </c>
      <c r="S13" s="32">
        <f>+I13*($B$6/($B$4+$B$6))</f>
        <v>286.83923705722071</v>
      </c>
      <c r="T13" s="37">
        <f>+$S13*E13</f>
        <v>11473.569482288829</v>
      </c>
      <c r="U13" s="37">
        <f t="shared" ref="U13:V14" si="5">+$S13*F13</f>
        <v>17210.354223433242</v>
      </c>
      <c r="V13" s="37">
        <f t="shared" si="5"/>
        <v>22947.138964577658</v>
      </c>
      <c r="X13" s="5" t="s">
        <v>144</v>
      </c>
      <c r="Y13" s="66">
        <f>+Y5/Y11</f>
        <v>3.9630671948401343E-2</v>
      </c>
      <c r="Z13" s="66">
        <f>+Z5/Z11</f>
        <v>3.9512529624672811E-2</v>
      </c>
      <c r="AA13" s="66">
        <f>+AA5/AA11</f>
        <v>3.4281340788011476E-2</v>
      </c>
      <c r="AB13" s="30">
        <f>+AVERAGE(Y13:AA13)</f>
        <v>3.7808180787028543E-2</v>
      </c>
    </row>
    <row r="14" spans="1:28" ht="15" x14ac:dyDescent="0.25">
      <c r="A14" s="385"/>
      <c r="B14" s="388"/>
      <c r="C14" s="388"/>
      <c r="D14" s="5" t="s">
        <v>258</v>
      </c>
      <c r="E14" s="5">
        <v>100</v>
      </c>
      <c r="F14" s="5">
        <v>125</v>
      </c>
      <c r="G14" s="5">
        <v>150</v>
      </c>
      <c r="H14" s="5" t="s">
        <v>257</v>
      </c>
      <c r="I14" s="5">
        <v>1089</v>
      </c>
      <c r="J14" s="5"/>
      <c r="K14" s="32">
        <f>+I14*(B4/(B4+B6))</f>
        <v>11.869209809264305</v>
      </c>
      <c r="L14" s="5">
        <f t="shared" si="3"/>
        <v>1186.9209809264305</v>
      </c>
      <c r="M14" s="5">
        <f t="shared" si="3"/>
        <v>1483.6512261580381</v>
      </c>
      <c r="N14" s="5">
        <f t="shared" si="3"/>
        <v>1780.3814713896459</v>
      </c>
      <c r="O14" s="32">
        <v>0</v>
      </c>
      <c r="P14" s="33">
        <f>+O14*E14</f>
        <v>0</v>
      </c>
      <c r="Q14" s="33">
        <f t="shared" si="4"/>
        <v>0</v>
      </c>
      <c r="R14" s="33">
        <f t="shared" si="4"/>
        <v>0</v>
      </c>
      <c r="S14" s="32">
        <f>+I14*($B$6/($B$4+$B$6))</f>
        <v>1077.1307901907358</v>
      </c>
      <c r="T14" s="37">
        <f>+$S14*E14</f>
        <v>107713.07901907357</v>
      </c>
      <c r="U14" s="37">
        <f t="shared" si="5"/>
        <v>134641.34877384198</v>
      </c>
      <c r="V14" s="37">
        <f>+$S14*G14</f>
        <v>161569.61852861036</v>
      </c>
      <c r="X14" s="5" t="s">
        <v>150</v>
      </c>
      <c r="Y14" s="43">
        <f>+Y6/Y11</f>
        <v>0.95920742392210223</v>
      </c>
      <c r="Z14" s="43">
        <f t="shared" ref="Z14:AA14" si="6">+Z6/Z11</f>
        <v>0.9570492723302868</v>
      </c>
      <c r="AA14" s="43">
        <f t="shared" si="6"/>
        <v>0.83198997396588992</v>
      </c>
      <c r="AB14" s="30">
        <f>+AVERAGE(Y14:AA14)</f>
        <v>0.91608222340609302</v>
      </c>
    </row>
    <row r="15" spans="1:28" ht="28.5" x14ac:dyDescent="0.25">
      <c r="A15" s="385"/>
      <c r="B15" s="402" t="s">
        <v>157</v>
      </c>
      <c r="C15" s="402"/>
      <c r="D15" s="13" t="s">
        <v>259</v>
      </c>
      <c r="E15" s="14">
        <v>160</v>
      </c>
      <c r="F15" s="14">
        <v>200</v>
      </c>
      <c r="G15" s="14">
        <v>240</v>
      </c>
      <c r="H15" s="14" t="s">
        <v>159</v>
      </c>
      <c r="I15" s="14"/>
      <c r="J15" s="14"/>
      <c r="K15" s="32">
        <v>0</v>
      </c>
      <c r="L15" s="5">
        <v>0</v>
      </c>
      <c r="M15" s="5">
        <v>0</v>
      </c>
      <c r="N15" s="5">
        <v>0</v>
      </c>
      <c r="O15" s="32">
        <f>+B5</f>
        <v>337</v>
      </c>
      <c r="P15" s="33">
        <f>+$O15*E15</f>
        <v>53920</v>
      </c>
      <c r="Q15" s="33">
        <f>+$O15*F15</f>
        <v>67400</v>
      </c>
      <c r="R15" s="33">
        <f>+$O15*G15</f>
        <v>80880</v>
      </c>
      <c r="S15" s="32">
        <f>+B6</f>
        <v>7260</v>
      </c>
      <c r="T15" s="37">
        <f>+$S15*E15</f>
        <v>1161600</v>
      </c>
      <c r="U15" s="37">
        <f t="shared" ref="U15:V15" si="7">+$S15*F15</f>
        <v>1452000</v>
      </c>
      <c r="V15" s="37">
        <f t="shared" si="7"/>
        <v>1742400</v>
      </c>
    </row>
    <row r="16" spans="1:28" ht="15" customHeight="1" x14ac:dyDescent="0.25">
      <c r="A16" s="403" t="s">
        <v>182</v>
      </c>
      <c r="B16" s="385" t="s">
        <v>183</v>
      </c>
      <c r="C16" s="385" t="s">
        <v>260</v>
      </c>
      <c r="D16" s="5" t="s">
        <v>227</v>
      </c>
      <c r="E16" s="5">
        <v>4</v>
      </c>
      <c r="F16" s="5">
        <v>5</v>
      </c>
      <c r="G16" s="5">
        <v>6</v>
      </c>
      <c r="H16" s="5" t="s">
        <v>188</v>
      </c>
      <c r="I16" s="5">
        <v>150</v>
      </c>
      <c r="J16" s="5"/>
      <c r="K16" s="32">
        <f>+I16*($B$4/($B$4+$B$6))</f>
        <v>1.6348773841961852</v>
      </c>
      <c r="L16" s="5">
        <f>+K16*E16</f>
        <v>6.5395095367847409</v>
      </c>
      <c r="M16" s="5">
        <f t="shared" ref="M16:N20" si="8">+L16*F16</f>
        <v>32.697547683923702</v>
      </c>
      <c r="N16" s="5">
        <f t="shared" si="8"/>
        <v>196.18528610354221</v>
      </c>
      <c r="O16" s="32">
        <v>0</v>
      </c>
      <c r="P16" s="33">
        <f>+$O16*E16</f>
        <v>0</v>
      </c>
      <c r="Q16" s="33">
        <f t="shared" ref="Q16:R24" si="9">+$O16*F16</f>
        <v>0</v>
      </c>
      <c r="R16" s="33">
        <f t="shared" si="9"/>
        <v>0</v>
      </c>
      <c r="S16" s="32">
        <f>+I16*($B$6/($B$4+$B$6))</f>
        <v>148.36512261580381</v>
      </c>
      <c r="T16" s="37">
        <f>+$S16*E16</f>
        <v>593.46049046321525</v>
      </c>
      <c r="U16" s="37">
        <f t="shared" ref="U16:V20" si="10">+$S16*F16</f>
        <v>741.82561307901904</v>
      </c>
      <c r="V16" s="37">
        <f t="shared" si="10"/>
        <v>890.19073569482293</v>
      </c>
    </row>
    <row r="17" spans="1:22" x14ac:dyDescent="0.25">
      <c r="A17" s="404"/>
      <c r="B17" s="385"/>
      <c r="C17" s="385"/>
      <c r="D17" s="5" t="s">
        <v>229</v>
      </c>
      <c r="E17" s="5">
        <v>8</v>
      </c>
      <c r="F17" s="5">
        <v>20</v>
      </c>
      <c r="G17" s="5">
        <v>24</v>
      </c>
      <c r="H17" s="5" t="s">
        <v>188</v>
      </c>
      <c r="I17" s="5">
        <v>150</v>
      </c>
      <c r="J17" s="5"/>
      <c r="K17" s="32">
        <f t="shared" ref="K17:K20" si="11">+I17*($B$4/($B$4+$B$6))</f>
        <v>1.6348773841961852</v>
      </c>
      <c r="L17" s="5">
        <f t="shared" ref="L17:L19" si="12">+K17*E17</f>
        <v>13.079019073569482</v>
      </c>
      <c r="M17" s="5">
        <f t="shared" si="8"/>
        <v>261.58038147138961</v>
      </c>
      <c r="N17" s="5">
        <f t="shared" si="8"/>
        <v>6277.9291553133507</v>
      </c>
      <c r="O17" s="32">
        <v>0</v>
      </c>
      <c r="P17" s="33">
        <f t="shared" ref="P17:P24" si="13">+$O17*E17</f>
        <v>0</v>
      </c>
      <c r="Q17" s="33">
        <f t="shared" si="9"/>
        <v>0</v>
      </c>
      <c r="R17" s="33">
        <f t="shared" si="9"/>
        <v>0</v>
      </c>
      <c r="S17" s="32">
        <f t="shared" ref="S17:S23" si="14">+I17*($B$6/($B$4+$B$6))</f>
        <v>148.36512261580381</v>
      </c>
      <c r="T17" s="37">
        <f t="shared" ref="T17:T20" si="15">+$S17*E17</f>
        <v>1186.9209809264305</v>
      </c>
      <c r="U17" s="37">
        <f t="shared" si="10"/>
        <v>2967.3024523160761</v>
      </c>
      <c r="V17" s="37">
        <f t="shared" si="10"/>
        <v>3560.7629427792917</v>
      </c>
    </row>
    <row r="18" spans="1:22" x14ac:dyDescent="0.25">
      <c r="A18" s="404"/>
      <c r="B18" s="385"/>
      <c r="C18" s="385"/>
      <c r="D18" s="5" t="s">
        <v>230</v>
      </c>
      <c r="E18" s="5">
        <v>40</v>
      </c>
      <c r="F18" s="5">
        <v>50</v>
      </c>
      <c r="G18" s="5">
        <v>100</v>
      </c>
      <c r="H18" s="5" t="s">
        <v>188</v>
      </c>
      <c r="I18" s="5">
        <v>150</v>
      </c>
      <c r="J18" s="5"/>
      <c r="K18" s="32">
        <f t="shared" si="11"/>
        <v>1.6348773841961852</v>
      </c>
      <c r="L18" s="5">
        <f t="shared" si="12"/>
        <v>65.395095367847404</v>
      </c>
      <c r="M18" s="5">
        <f t="shared" si="8"/>
        <v>3269.7547683923704</v>
      </c>
      <c r="N18" s="5">
        <f t="shared" si="8"/>
        <v>326975.47683923703</v>
      </c>
      <c r="O18" s="32">
        <v>0</v>
      </c>
      <c r="P18" s="33">
        <f t="shared" si="13"/>
        <v>0</v>
      </c>
      <c r="Q18" s="33">
        <f t="shared" si="9"/>
        <v>0</v>
      </c>
      <c r="R18" s="33">
        <f t="shared" si="9"/>
        <v>0</v>
      </c>
      <c r="S18" s="32">
        <f t="shared" si="14"/>
        <v>148.36512261580381</v>
      </c>
      <c r="T18" s="37">
        <f t="shared" si="15"/>
        <v>5934.6049046321523</v>
      </c>
      <c r="U18" s="37">
        <f t="shared" si="10"/>
        <v>7418.2561307901906</v>
      </c>
      <c r="V18" s="37">
        <f t="shared" si="10"/>
        <v>14836.512261580381</v>
      </c>
    </row>
    <row r="19" spans="1:22" x14ac:dyDescent="0.25">
      <c r="A19" s="404"/>
      <c r="B19" s="385"/>
      <c r="C19" s="385"/>
      <c r="D19" s="5" t="s">
        <v>261</v>
      </c>
      <c r="E19" s="5">
        <v>4</v>
      </c>
      <c r="F19" s="5">
        <v>6</v>
      </c>
      <c r="G19" s="5">
        <v>8</v>
      </c>
      <c r="H19" s="5" t="s">
        <v>188</v>
      </c>
      <c r="I19" s="5">
        <v>150</v>
      </c>
      <c r="J19" s="5"/>
      <c r="K19" s="32">
        <f t="shared" si="11"/>
        <v>1.6348773841961852</v>
      </c>
      <c r="L19" s="5">
        <f t="shared" si="12"/>
        <v>6.5395095367847409</v>
      </c>
      <c r="M19" s="5">
        <f t="shared" si="8"/>
        <v>39.237057220708444</v>
      </c>
      <c r="N19" s="5">
        <f t="shared" si="8"/>
        <v>313.89645776566755</v>
      </c>
      <c r="O19" s="32">
        <v>0</v>
      </c>
      <c r="P19" s="33">
        <f t="shared" si="13"/>
        <v>0</v>
      </c>
      <c r="Q19" s="33">
        <f t="shared" si="9"/>
        <v>0</v>
      </c>
      <c r="R19" s="33">
        <f t="shared" si="9"/>
        <v>0</v>
      </c>
      <c r="S19" s="32">
        <f t="shared" si="14"/>
        <v>148.36512261580381</v>
      </c>
      <c r="T19" s="37">
        <f t="shared" si="15"/>
        <v>593.46049046321525</v>
      </c>
      <c r="U19" s="37">
        <f t="shared" si="10"/>
        <v>890.19073569482293</v>
      </c>
      <c r="V19" s="37">
        <f t="shared" si="10"/>
        <v>1186.9209809264305</v>
      </c>
    </row>
    <row r="20" spans="1:22" x14ac:dyDescent="0.25">
      <c r="A20" s="404"/>
      <c r="B20" s="385"/>
      <c r="C20" s="385"/>
      <c r="D20" s="5" t="s">
        <v>262</v>
      </c>
      <c r="E20" s="5">
        <v>24</v>
      </c>
      <c r="F20" s="5">
        <v>30</v>
      </c>
      <c r="G20" s="5">
        <v>36</v>
      </c>
      <c r="H20" s="5" t="s">
        <v>188</v>
      </c>
      <c r="I20" s="5">
        <v>150</v>
      </c>
      <c r="J20" s="5"/>
      <c r="K20" s="32">
        <f t="shared" si="11"/>
        <v>1.6348773841961852</v>
      </c>
      <c r="L20" s="5">
        <f>+K20*E20</f>
        <v>39.237057220708444</v>
      </c>
      <c r="M20" s="5">
        <f t="shared" si="8"/>
        <v>1177.1117166212532</v>
      </c>
      <c r="N20" s="5">
        <f>+M20*G20</f>
        <v>42376.021798365116</v>
      </c>
      <c r="O20" s="32">
        <v>0</v>
      </c>
      <c r="P20" s="33">
        <f t="shared" si="13"/>
        <v>0</v>
      </c>
      <c r="Q20" s="33">
        <f t="shared" si="9"/>
        <v>0</v>
      </c>
      <c r="R20" s="33">
        <f t="shared" si="9"/>
        <v>0</v>
      </c>
      <c r="S20" s="32">
        <f t="shared" si="14"/>
        <v>148.36512261580381</v>
      </c>
      <c r="T20" s="37">
        <f t="shared" si="15"/>
        <v>3560.7629427792917</v>
      </c>
      <c r="U20" s="37">
        <f t="shared" si="10"/>
        <v>4450.953678474114</v>
      </c>
      <c r="V20" s="37">
        <f>+$S20*G20</f>
        <v>5341.1444141689371</v>
      </c>
    </row>
    <row r="21" spans="1:22" x14ac:dyDescent="0.25">
      <c r="A21" s="404"/>
      <c r="B21" s="385"/>
      <c r="C21" s="385" t="s">
        <v>235</v>
      </c>
      <c r="D21" s="5" t="s">
        <v>263</v>
      </c>
      <c r="E21" s="5">
        <v>30</v>
      </c>
      <c r="F21" s="5">
        <v>35</v>
      </c>
      <c r="G21" s="5">
        <v>40</v>
      </c>
      <c r="H21" s="5" t="s">
        <v>237</v>
      </c>
      <c r="I21" s="5">
        <v>1000</v>
      </c>
      <c r="J21" s="5"/>
      <c r="K21" s="32">
        <f>+I21*($B$4/($B$4+$B$6))</f>
        <v>10.899182561307901</v>
      </c>
      <c r="L21" s="5">
        <f>+$K21*E21</f>
        <v>326.97547683923705</v>
      </c>
      <c r="M21" s="5">
        <f>+$K21*F21</f>
        <v>381.47138964577653</v>
      </c>
      <c r="N21" s="5">
        <f>+$K21*G21</f>
        <v>435.96730245231606</v>
      </c>
      <c r="O21" s="32">
        <v>0</v>
      </c>
      <c r="P21" s="33">
        <f t="shared" si="13"/>
        <v>0</v>
      </c>
      <c r="Q21" s="33">
        <f t="shared" si="9"/>
        <v>0</v>
      </c>
      <c r="R21" s="33">
        <f t="shared" si="9"/>
        <v>0</v>
      </c>
      <c r="S21" s="32">
        <f t="shared" si="14"/>
        <v>989.10081743869205</v>
      </c>
      <c r="T21" s="37">
        <f t="shared" ref="T21:V24" si="16">+$S21*E21</f>
        <v>29673.024523160762</v>
      </c>
      <c r="U21" s="37">
        <f t="shared" si="16"/>
        <v>34618.528610354224</v>
      </c>
      <c r="V21" s="37">
        <f t="shared" si="16"/>
        <v>39564.032697547678</v>
      </c>
    </row>
    <row r="22" spans="1:22" x14ac:dyDescent="0.25">
      <c r="A22" s="404"/>
      <c r="B22" s="385"/>
      <c r="C22" s="385"/>
      <c r="D22" s="5" t="s">
        <v>216</v>
      </c>
      <c r="E22" s="5">
        <v>100</v>
      </c>
      <c r="F22" s="5">
        <v>150</v>
      </c>
      <c r="G22" s="5">
        <v>200</v>
      </c>
      <c r="H22" s="5" t="s">
        <v>240</v>
      </c>
      <c r="I22" s="5">
        <v>36</v>
      </c>
      <c r="J22" s="5"/>
      <c r="K22" s="32">
        <f t="shared" ref="K22:K24" si="17">+I22*($B$4/($B$4+$B$6))</f>
        <v>0.39237057220708443</v>
      </c>
      <c r="L22" s="5">
        <f>+$K22*E22</f>
        <v>39.237057220708444</v>
      </c>
      <c r="M22" s="5">
        <f t="shared" ref="M22:N22" si="18">+$K22*F22</f>
        <v>58.855585831062662</v>
      </c>
      <c r="N22" s="5">
        <f t="shared" si="18"/>
        <v>78.474114441416887</v>
      </c>
      <c r="O22" s="32">
        <v>0</v>
      </c>
      <c r="P22" s="33">
        <f t="shared" si="13"/>
        <v>0</v>
      </c>
      <c r="Q22" s="33">
        <f t="shared" si="9"/>
        <v>0</v>
      </c>
      <c r="R22" s="33">
        <f t="shared" si="9"/>
        <v>0</v>
      </c>
      <c r="S22" s="32">
        <f t="shared" si="14"/>
        <v>35.607629427792915</v>
      </c>
      <c r="T22" s="37">
        <f t="shared" si="16"/>
        <v>3560.7629427792917</v>
      </c>
      <c r="U22" s="37">
        <f t="shared" si="16"/>
        <v>5341.1444141689371</v>
      </c>
      <c r="V22" s="37">
        <f t="shared" si="16"/>
        <v>7121.5258855585835</v>
      </c>
    </row>
    <row r="23" spans="1:22" x14ac:dyDescent="0.25">
      <c r="A23" s="404"/>
      <c r="B23" s="385"/>
      <c r="C23" s="385" t="s">
        <v>242</v>
      </c>
      <c r="D23" s="5" t="s">
        <v>264</v>
      </c>
      <c r="E23" s="5">
        <v>4</v>
      </c>
      <c r="F23" s="5">
        <v>8</v>
      </c>
      <c r="G23" s="5">
        <v>12</v>
      </c>
      <c r="H23" s="5" t="s">
        <v>244</v>
      </c>
      <c r="I23" s="5">
        <v>150</v>
      </c>
      <c r="J23" s="5"/>
      <c r="K23" s="32">
        <f t="shared" si="17"/>
        <v>1.6348773841961852</v>
      </c>
      <c r="L23" s="5">
        <f>+$K23*E23</f>
        <v>6.5395095367847409</v>
      </c>
      <c r="M23" s="5">
        <f t="shared" ref="M23:N24" si="19">+$K23*F23</f>
        <v>13.079019073569482</v>
      </c>
      <c r="N23" s="5">
        <f t="shared" si="19"/>
        <v>19.618528610354222</v>
      </c>
      <c r="O23" s="32">
        <v>0</v>
      </c>
      <c r="P23" s="33">
        <f t="shared" si="13"/>
        <v>0</v>
      </c>
      <c r="Q23" s="33">
        <f t="shared" si="9"/>
        <v>0</v>
      </c>
      <c r="R23" s="33">
        <f t="shared" si="9"/>
        <v>0</v>
      </c>
      <c r="S23" s="32">
        <f t="shared" si="14"/>
        <v>148.36512261580381</v>
      </c>
      <c r="T23" s="37">
        <f t="shared" si="16"/>
        <v>593.46049046321525</v>
      </c>
      <c r="U23" s="37">
        <f t="shared" si="16"/>
        <v>1186.9209809264305</v>
      </c>
      <c r="V23" s="37">
        <f t="shared" si="16"/>
        <v>1780.3814713896459</v>
      </c>
    </row>
    <row r="24" spans="1:22" ht="42.75" x14ac:dyDescent="0.25">
      <c r="A24" s="404"/>
      <c r="B24" s="385"/>
      <c r="C24" s="385"/>
      <c r="D24" s="15" t="s">
        <v>246</v>
      </c>
      <c r="E24" s="5">
        <v>24</v>
      </c>
      <c r="F24" s="5">
        <v>32</v>
      </c>
      <c r="G24" s="5">
        <v>40</v>
      </c>
      <c r="H24" s="5" t="s">
        <v>244</v>
      </c>
      <c r="I24" s="5">
        <v>150</v>
      </c>
      <c r="J24" s="5"/>
      <c r="K24" s="32">
        <f t="shared" si="17"/>
        <v>1.6348773841961852</v>
      </c>
      <c r="L24" s="5">
        <f>+$K24*E24</f>
        <v>39.237057220708444</v>
      </c>
      <c r="M24" s="5">
        <f t="shared" si="19"/>
        <v>52.316076294277927</v>
      </c>
      <c r="N24" s="5">
        <f>+$K24*G24</f>
        <v>65.395095367847404</v>
      </c>
      <c r="O24" s="32">
        <v>0</v>
      </c>
      <c r="P24" s="33">
        <f t="shared" si="13"/>
        <v>0</v>
      </c>
      <c r="Q24" s="33">
        <f t="shared" si="9"/>
        <v>0</v>
      </c>
      <c r="R24" s="33">
        <f t="shared" si="9"/>
        <v>0</v>
      </c>
      <c r="S24" s="32">
        <f>+I24*($B$6/($B$4+$B$6))</f>
        <v>148.36512261580381</v>
      </c>
      <c r="T24" s="37">
        <f t="shared" si="16"/>
        <v>3560.7629427792917</v>
      </c>
      <c r="U24" s="37">
        <f t="shared" si="16"/>
        <v>4747.683923705722</v>
      </c>
      <c r="V24" s="37">
        <f t="shared" si="16"/>
        <v>5934.6049046321523</v>
      </c>
    </row>
    <row r="25" spans="1:22" x14ac:dyDescent="0.25">
      <c r="A25" s="404"/>
      <c r="B25" s="399" t="s">
        <v>197</v>
      </c>
      <c r="C25" s="398" t="s">
        <v>265</v>
      </c>
      <c r="D25" s="14" t="s">
        <v>227</v>
      </c>
      <c r="E25" s="14">
        <v>12</v>
      </c>
      <c r="F25" s="14">
        <v>18</v>
      </c>
      <c r="G25" s="14">
        <v>24</v>
      </c>
      <c r="H25" s="14" t="s">
        <v>188</v>
      </c>
      <c r="I25" s="14">
        <v>150</v>
      </c>
      <c r="J25" s="14"/>
      <c r="K25" s="32">
        <v>0</v>
      </c>
      <c r="L25" s="5">
        <f>+$K25*E25</f>
        <v>0</v>
      </c>
      <c r="M25" s="5">
        <f t="shared" ref="M25:N39" si="20">+$K25*F25</f>
        <v>0</v>
      </c>
      <c r="N25" s="5">
        <f t="shared" si="20"/>
        <v>0</v>
      </c>
      <c r="O25" s="32">
        <f>+I25*($B$5/($B$5+$B$6))</f>
        <v>6.6539423456627622</v>
      </c>
      <c r="P25" s="14">
        <f t="shared" ref="P25:R29" si="21">+$O25*E25</f>
        <v>79.847308147953143</v>
      </c>
      <c r="Q25" s="14">
        <f t="shared" si="21"/>
        <v>119.77096222192972</v>
      </c>
      <c r="R25" s="14">
        <f t="shared" si="21"/>
        <v>159.69461629590629</v>
      </c>
      <c r="S25" s="32">
        <f>+I25*($B$6/($B$5+$B$6))</f>
        <v>143.34605765433724</v>
      </c>
      <c r="T25" s="37">
        <f t="shared" ref="T25:V29" si="22">+$S25*E25</f>
        <v>1720.1526918520469</v>
      </c>
      <c r="U25" s="37">
        <f t="shared" si="22"/>
        <v>2580.2290377780705</v>
      </c>
      <c r="V25" s="37">
        <f t="shared" si="22"/>
        <v>3440.3053837040939</v>
      </c>
    </row>
    <row r="26" spans="1:22" x14ac:dyDescent="0.25">
      <c r="A26" s="404"/>
      <c r="B26" s="400"/>
      <c r="C26" s="398"/>
      <c r="D26" s="14" t="s">
        <v>229</v>
      </c>
      <c r="E26" s="14">
        <v>8</v>
      </c>
      <c r="F26" s="14">
        <v>20</v>
      </c>
      <c r="G26" s="14">
        <v>24</v>
      </c>
      <c r="H26" s="14" t="s">
        <v>188</v>
      </c>
      <c r="I26" s="14">
        <v>150</v>
      </c>
      <c r="J26" s="14"/>
      <c r="K26" s="32">
        <v>0</v>
      </c>
      <c r="L26" s="5">
        <f t="shared" ref="L26:N41" si="23">+$K26*E26</f>
        <v>0</v>
      </c>
      <c r="M26" s="5">
        <f t="shared" si="20"/>
        <v>0</v>
      </c>
      <c r="N26" s="5">
        <f t="shared" si="20"/>
        <v>0</v>
      </c>
      <c r="O26" s="32">
        <f t="shared" ref="O26:O34" si="24">+I26*($B$5/($B$5+$B$6))</f>
        <v>6.6539423456627622</v>
      </c>
      <c r="P26" s="14">
        <f t="shared" si="21"/>
        <v>53.231538765302098</v>
      </c>
      <c r="Q26" s="14">
        <f t="shared" si="21"/>
        <v>133.07884691325523</v>
      </c>
      <c r="R26" s="14">
        <f t="shared" si="21"/>
        <v>159.69461629590629</v>
      </c>
      <c r="S26" s="32">
        <f t="shared" ref="S26:S34" si="25">+I26*($B$6/($B$5+$B$6))</f>
        <v>143.34605765433724</v>
      </c>
      <c r="T26" s="37">
        <f t="shared" si="22"/>
        <v>1146.768461234698</v>
      </c>
      <c r="U26" s="37">
        <f t="shared" si="22"/>
        <v>2866.9211530867451</v>
      </c>
      <c r="V26" s="37">
        <f t="shared" si="22"/>
        <v>3440.3053837040939</v>
      </c>
    </row>
    <row r="27" spans="1:22" x14ac:dyDescent="0.25">
      <c r="A27" s="404"/>
      <c r="B27" s="400"/>
      <c r="C27" s="398"/>
      <c r="D27" s="14" t="s">
        <v>230</v>
      </c>
      <c r="E27" s="14">
        <v>40</v>
      </c>
      <c r="F27" s="14">
        <v>50</v>
      </c>
      <c r="G27" s="14">
        <v>100</v>
      </c>
      <c r="H27" s="14" t="s">
        <v>188</v>
      </c>
      <c r="I27" s="14">
        <v>150</v>
      </c>
      <c r="J27" s="14"/>
      <c r="K27" s="32">
        <v>0</v>
      </c>
      <c r="L27" s="5">
        <f t="shared" si="23"/>
        <v>0</v>
      </c>
      <c r="M27" s="5">
        <f t="shared" si="20"/>
        <v>0</v>
      </c>
      <c r="N27" s="5">
        <f t="shared" si="20"/>
        <v>0</v>
      </c>
      <c r="O27" s="32">
        <f t="shared" si="24"/>
        <v>6.6539423456627622</v>
      </c>
      <c r="P27" s="14">
        <f t="shared" si="21"/>
        <v>266.15769382651047</v>
      </c>
      <c r="Q27" s="14">
        <f t="shared" si="21"/>
        <v>332.69711728313808</v>
      </c>
      <c r="R27" s="14">
        <f t="shared" si="21"/>
        <v>665.39423456627617</v>
      </c>
      <c r="S27" s="32">
        <f t="shared" si="25"/>
        <v>143.34605765433724</v>
      </c>
      <c r="T27" s="37">
        <f t="shared" si="22"/>
        <v>5733.8423061734902</v>
      </c>
      <c r="U27" s="37">
        <f t="shared" si="22"/>
        <v>7167.3028827168619</v>
      </c>
      <c r="V27" s="37">
        <f t="shared" si="22"/>
        <v>14334.605765433724</v>
      </c>
    </row>
    <row r="28" spans="1:22" x14ac:dyDescent="0.25">
      <c r="A28" s="404"/>
      <c r="B28" s="400"/>
      <c r="C28" s="398"/>
      <c r="D28" s="14" t="s">
        <v>266</v>
      </c>
      <c r="E28" s="14">
        <v>4</v>
      </c>
      <c r="F28" s="14">
        <v>6</v>
      </c>
      <c r="G28" s="14">
        <v>8</v>
      </c>
      <c r="H28" s="14" t="s">
        <v>188</v>
      </c>
      <c r="I28" s="14">
        <v>150</v>
      </c>
      <c r="J28" s="14"/>
      <c r="K28" s="32">
        <v>0</v>
      </c>
      <c r="L28" s="5">
        <f t="shared" si="23"/>
        <v>0</v>
      </c>
      <c r="M28" s="5">
        <f t="shared" si="20"/>
        <v>0</v>
      </c>
      <c r="N28" s="5">
        <f t="shared" si="20"/>
        <v>0</v>
      </c>
      <c r="O28" s="32">
        <f t="shared" si="24"/>
        <v>6.6539423456627622</v>
      </c>
      <c r="P28" s="14">
        <f t="shared" si="21"/>
        <v>26.615769382651049</v>
      </c>
      <c r="Q28" s="14">
        <f t="shared" si="21"/>
        <v>39.923654073976572</v>
      </c>
      <c r="R28" s="14">
        <f t="shared" si="21"/>
        <v>53.231538765302098</v>
      </c>
      <c r="S28" s="32">
        <f t="shared" si="25"/>
        <v>143.34605765433724</v>
      </c>
      <c r="T28" s="37">
        <f t="shared" si="22"/>
        <v>573.38423061734898</v>
      </c>
      <c r="U28" s="37">
        <f t="shared" si="22"/>
        <v>860.07634592602346</v>
      </c>
      <c r="V28" s="37">
        <f t="shared" si="22"/>
        <v>1146.768461234698</v>
      </c>
    </row>
    <row r="29" spans="1:22" x14ac:dyDescent="0.25">
      <c r="A29" s="404"/>
      <c r="B29" s="400"/>
      <c r="C29" s="398"/>
      <c r="D29" s="14" t="s">
        <v>267</v>
      </c>
      <c r="E29" s="14">
        <v>24</v>
      </c>
      <c r="F29" s="14">
        <v>30</v>
      </c>
      <c r="G29" s="14">
        <v>36</v>
      </c>
      <c r="H29" s="14" t="s">
        <v>188</v>
      </c>
      <c r="I29" s="14">
        <v>150</v>
      </c>
      <c r="J29" s="14"/>
      <c r="K29" s="32">
        <v>0</v>
      </c>
      <c r="L29" s="5">
        <f t="shared" si="23"/>
        <v>0</v>
      </c>
      <c r="M29" s="5">
        <f t="shared" si="20"/>
        <v>0</v>
      </c>
      <c r="N29" s="5">
        <f t="shared" si="20"/>
        <v>0</v>
      </c>
      <c r="O29" s="32">
        <f t="shared" si="24"/>
        <v>6.6539423456627622</v>
      </c>
      <c r="P29" s="14">
        <f t="shared" si="21"/>
        <v>159.69461629590629</v>
      </c>
      <c r="Q29" s="14">
        <f t="shared" si="21"/>
        <v>199.61827036988288</v>
      </c>
      <c r="R29" s="14">
        <f t="shared" si="21"/>
        <v>239.54192444385944</v>
      </c>
      <c r="S29" s="32">
        <f t="shared" si="25"/>
        <v>143.34605765433724</v>
      </c>
      <c r="T29" s="37">
        <f t="shared" si="22"/>
        <v>3440.3053837040939</v>
      </c>
      <c r="U29" s="37">
        <f t="shared" si="22"/>
        <v>4300.3817296301177</v>
      </c>
      <c r="V29" s="37">
        <f t="shared" si="22"/>
        <v>5160.458075556141</v>
      </c>
    </row>
    <row r="30" spans="1:22" x14ac:dyDescent="0.25">
      <c r="A30" s="404"/>
      <c r="B30" s="400"/>
      <c r="C30" s="398" t="s">
        <v>252</v>
      </c>
      <c r="D30" s="14" t="s">
        <v>227</v>
      </c>
      <c r="E30" s="14">
        <v>8</v>
      </c>
      <c r="F30" s="14">
        <v>16</v>
      </c>
      <c r="G30" s="14">
        <v>24</v>
      </c>
      <c r="H30" s="14" t="s">
        <v>188</v>
      </c>
      <c r="I30" s="14">
        <v>50</v>
      </c>
      <c r="J30" s="14"/>
      <c r="K30" s="32">
        <v>0</v>
      </c>
      <c r="L30" s="5">
        <f t="shared" si="23"/>
        <v>0</v>
      </c>
      <c r="M30" s="5">
        <f t="shared" si="20"/>
        <v>0</v>
      </c>
      <c r="N30" s="5">
        <f t="shared" si="20"/>
        <v>0</v>
      </c>
      <c r="O30" s="32">
        <f t="shared" si="24"/>
        <v>2.2179807818875874</v>
      </c>
      <c r="P30" s="14">
        <f t="shared" ref="P30:R41" si="26">+$O30*E30</f>
        <v>17.743846255100699</v>
      </c>
      <c r="Q30" s="14">
        <f t="shared" si="26"/>
        <v>35.487692510201398</v>
      </c>
      <c r="R30" s="14">
        <f t="shared" si="26"/>
        <v>53.231538765302098</v>
      </c>
      <c r="S30" s="32">
        <f t="shared" si="25"/>
        <v>47.782019218112417</v>
      </c>
      <c r="T30" s="37">
        <f t="shared" ref="T30:V41" si="27">+$S30*E30</f>
        <v>382.25615374489934</v>
      </c>
      <c r="U30" s="37">
        <f t="shared" si="27"/>
        <v>764.51230748979867</v>
      </c>
      <c r="V30" s="37">
        <f t="shared" si="27"/>
        <v>1146.768461234698</v>
      </c>
    </row>
    <row r="31" spans="1:22" x14ac:dyDescent="0.25">
      <c r="A31" s="404"/>
      <c r="B31" s="400"/>
      <c r="C31" s="398"/>
      <c r="D31" s="14" t="s">
        <v>229</v>
      </c>
      <c r="E31" s="14">
        <v>8</v>
      </c>
      <c r="F31" s="14">
        <v>8</v>
      </c>
      <c r="G31" s="14">
        <v>8</v>
      </c>
      <c r="H31" s="14" t="s">
        <v>188</v>
      </c>
      <c r="I31" s="14">
        <v>50</v>
      </c>
      <c r="J31" s="14"/>
      <c r="K31" s="32">
        <v>0</v>
      </c>
      <c r="L31" s="5">
        <f t="shared" si="23"/>
        <v>0</v>
      </c>
      <c r="M31" s="5">
        <f t="shared" si="20"/>
        <v>0</v>
      </c>
      <c r="N31" s="5">
        <f t="shared" si="20"/>
        <v>0</v>
      </c>
      <c r="O31" s="32">
        <f t="shared" si="24"/>
        <v>2.2179807818875874</v>
      </c>
      <c r="P31" s="14">
        <f t="shared" si="26"/>
        <v>17.743846255100699</v>
      </c>
      <c r="Q31" s="14">
        <f t="shared" si="26"/>
        <v>17.743846255100699</v>
      </c>
      <c r="R31" s="14">
        <f t="shared" si="26"/>
        <v>17.743846255100699</v>
      </c>
      <c r="S31" s="32">
        <f t="shared" si="25"/>
        <v>47.782019218112417</v>
      </c>
      <c r="T31" s="37">
        <f t="shared" si="27"/>
        <v>382.25615374489934</v>
      </c>
      <c r="U31" s="37">
        <f t="shared" si="27"/>
        <v>382.25615374489934</v>
      </c>
      <c r="V31" s="37">
        <f t="shared" si="27"/>
        <v>382.25615374489934</v>
      </c>
    </row>
    <row r="32" spans="1:22" x14ac:dyDescent="0.25">
      <c r="A32" s="404"/>
      <c r="B32" s="400"/>
      <c r="C32" s="398"/>
      <c r="D32" s="14" t="s">
        <v>230</v>
      </c>
      <c r="E32" s="14">
        <v>40</v>
      </c>
      <c r="F32" s="14">
        <v>50</v>
      </c>
      <c r="G32" s="14">
        <v>100</v>
      </c>
      <c r="H32" s="14" t="s">
        <v>188</v>
      </c>
      <c r="I32" s="14">
        <v>50</v>
      </c>
      <c r="J32" s="14"/>
      <c r="K32" s="32">
        <v>0</v>
      </c>
      <c r="L32" s="5">
        <f t="shared" si="23"/>
        <v>0</v>
      </c>
      <c r="M32" s="5">
        <f t="shared" si="20"/>
        <v>0</v>
      </c>
      <c r="N32" s="5">
        <f t="shared" si="20"/>
        <v>0</v>
      </c>
      <c r="O32" s="32">
        <f t="shared" si="24"/>
        <v>2.2179807818875874</v>
      </c>
      <c r="P32" s="14">
        <f t="shared" si="26"/>
        <v>88.719231275503489</v>
      </c>
      <c r="Q32" s="14">
        <f t="shared" si="26"/>
        <v>110.89903909437938</v>
      </c>
      <c r="R32" s="14">
        <f t="shared" si="26"/>
        <v>221.79807818875875</v>
      </c>
      <c r="S32" s="32">
        <f t="shared" si="25"/>
        <v>47.782019218112417</v>
      </c>
      <c r="T32" s="37">
        <f t="shared" si="27"/>
        <v>1911.2807687244967</v>
      </c>
      <c r="U32" s="37">
        <f t="shared" si="27"/>
        <v>2389.1009609056209</v>
      </c>
      <c r="V32" s="37">
        <f t="shared" si="27"/>
        <v>4778.2019218112418</v>
      </c>
    </row>
    <row r="33" spans="1:22" x14ac:dyDescent="0.25">
      <c r="A33" s="404"/>
      <c r="B33" s="400"/>
      <c r="C33" s="398"/>
      <c r="D33" s="14" t="s">
        <v>268</v>
      </c>
      <c r="E33" s="14">
        <v>4</v>
      </c>
      <c r="F33" s="14">
        <v>6</v>
      </c>
      <c r="G33" s="14">
        <v>8</v>
      </c>
      <c r="H33" s="14" t="s">
        <v>188</v>
      </c>
      <c r="I33" s="14">
        <v>50</v>
      </c>
      <c r="J33" s="14"/>
      <c r="K33" s="32">
        <v>0</v>
      </c>
      <c r="L33" s="5">
        <f t="shared" si="23"/>
        <v>0</v>
      </c>
      <c r="M33" s="5">
        <f t="shared" si="20"/>
        <v>0</v>
      </c>
      <c r="N33" s="5">
        <f t="shared" si="20"/>
        <v>0</v>
      </c>
      <c r="O33" s="32">
        <f t="shared" si="24"/>
        <v>2.2179807818875874</v>
      </c>
      <c r="P33" s="14">
        <f t="shared" si="26"/>
        <v>8.8719231275503496</v>
      </c>
      <c r="Q33" s="14">
        <f t="shared" si="26"/>
        <v>13.307884691325524</v>
      </c>
      <c r="R33" s="14">
        <f t="shared" si="26"/>
        <v>17.743846255100699</v>
      </c>
      <c r="S33" s="32">
        <f t="shared" si="25"/>
        <v>47.782019218112417</v>
      </c>
      <c r="T33" s="37">
        <f t="shared" si="27"/>
        <v>191.12807687244967</v>
      </c>
      <c r="U33" s="37">
        <f t="shared" si="27"/>
        <v>286.69211530867449</v>
      </c>
      <c r="V33" s="37">
        <f t="shared" si="27"/>
        <v>382.25615374489934</v>
      </c>
    </row>
    <row r="34" spans="1:22" x14ac:dyDescent="0.25">
      <c r="A34" s="404"/>
      <c r="B34" s="400"/>
      <c r="C34" s="398"/>
      <c r="D34" s="14" t="s">
        <v>267</v>
      </c>
      <c r="E34" s="14">
        <v>24</v>
      </c>
      <c r="F34" s="14">
        <v>30</v>
      </c>
      <c r="G34" s="14">
        <v>36</v>
      </c>
      <c r="H34" s="14" t="s">
        <v>188</v>
      </c>
      <c r="I34" s="14">
        <v>50</v>
      </c>
      <c r="J34" s="14"/>
      <c r="K34" s="32">
        <v>0</v>
      </c>
      <c r="L34" s="5">
        <f t="shared" si="23"/>
        <v>0</v>
      </c>
      <c r="M34" s="5">
        <f t="shared" si="20"/>
        <v>0</v>
      </c>
      <c r="N34" s="5">
        <f t="shared" si="20"/>
        <v>0</v>
      </c>
      <c r="O34" s="32">
        <f t="shared" si="24"/>
        <v>2.2179807818875874</v>
      </c>
      <c r="P34" s="14">
        <f t="shared" si="26"/>
        <v>53.231538765302098</v>
      </c>
      <c r="Q34" s="14">
        <f t="shared" si="26"/>
        <v>66.539423456627617</v>
      </c>
      <c r="R34" s="14">
        <f t="shared" si="26"/>
        <v>79.847308147953143</v>
      </c>
      <c r="S34" s="32">
        <f t="shared" si="25"/>
        <v>47.782019218112417</v>
      </c>
      <c r="T34" s="37">
        <f t="shared" si="27"/>
        <v>1146.768461234698</v>
      </c>
      <c r="U34" s="37">
        <f t="shared" si="27"/>
        <v>1433.4605765433726</v>
      </c>
      <c r="V34" s="37">
        <f t="shared" si="27"/>
        <v>1720.1526918520469</v>
      </c>
    </row>
    <row r="35" spans="1:22" ht="14.85" customHeight="1" x14ac:dyDescent="0.25">
      <c r="A35" s="404"/>
      <c r="B35" s="400"/>
      <c r="C35" s="399" t="s">
        <v>242</v>
      </c>
      <c r="D35" s="14" t="s">
        <v>269</v>
      </c>
      <c r="E35" s="14">
        <v>24</v>
      </c>
      <c r="F35" s="14">
        <v>32</v>
      </c>
      <c r="G35" s="14">
        <v>40</v>
      </c>
      <c r="H35" s="14" t="s">
        <v>156</v>
      </c>
      <c r="I35" s="17">
        <v>1</v>
      </c>
      <c r="J35" s="17">
        <v>1</v>
      </c>
      <c r="K35" s="32">
        <v>0</v>
      </c>
      <c r="L35" s="5">
        <f t="shared" si="23"/>
        <v>0</v>
      </c>
      <c r="M35" s="5">
        <f t="shared" si="20"/>
        <v>0</v>
      </c>
      <c r="N35" s="5">
        <f t="shared" si="20"/>
        <v>0</v>
      </c>
      <c r="O35" s="32">
        <f>+$J35*$B$5</f>
        <v>337</v>
      </c>
      <c r="P35" s="14">
        <f t="shared" si="26"/>
        <v>8088</v>
      </c>
      <c r="Q35" s="14">
        <f t="shared" si="26"/>
        <v>10784</v>
      </c>
      <c r="R35" s="14">
        <f t="shared" si="26"/>
        <v>13480</v>
      </c>
      <c r="S35" s="32">
        <f>+B6</f>
        <v>7260</v>
      </c>
      <c r="T35" s="37">
        <f t="shared" si="27"/>
        <v>174240</v>
      </c>
      <c r="U35" s="37">
        <f t="shared" si="27"/>
        <v>232320</v>
      </c>
      <c r="V35" s="37">
        <f t="shared" si="27"/>
        <v>290400</v>
      </c>
    </row>
    <row r="36" spans="1:22" x14ac:dyDescent="0.25">
      <c r="A36" s="404"/>
      <c r="B36" s="400"/>
      <c r="C36" s="400"/>
      <c r="D36" s="14" t="s">
        <v>270</v>
      </c>
      <c r="E36" s="14">
        <v>4</v>
      </c>
      <c r="F36" s="14">
        <v>6</v>
      </c>
      <c r="G36" s="14">
        <v>8</v>
      </c>
      <c r="H36" s="14" t="s">
        <v>156</v>
      </c>
      <c r="I36" s="17">
        <v>0.2</v>
      </c>
      <c r="J36" s="17">
        <v>0.2</v>
      </c>
      <c r="K36" s="32">
        <v>0</v>
      </c>
      <c r="L36" s="5">
        <f t="shared" si="23"/>
        <v>0</v>
      </c>
      <c r="M36" s="5">
        <f t="shared" si="20"/>
        <v>0</v>
      </c>
      <c r="N36" s="5">
        <f t="shared" si="20"/>
        <v>0</v>
      </c>
      <c r="O36" s="32">
        <f>+$J36*$B$5</f>
        <v>67.400000000000006</v>
      </c>
      <c r="P36" s="14">
        <f t="shared" si="26"/>
        <v>269.60000000000002</v>
      </c>
      <c r="Q36" s="14">
        <f t="shared" si="26"/>
        <v>404.40000000000003</v>
      </c>
      <c r="R36" s="14">
        <f t="shared" si="26"/>
        <v>539.20000000000005</v>
      </c>
      <c r="S36" s="32">
        <f>+J36*S35</f>
        <v>1452</v>
      </c>
      <c r="T36" s="37">
        <f t="shared" si="27"/>
        <v>5808</v>
      </c>
      <c r="U36" s="37">
        <f t="shared" si="27"/>
        <v>8712</v>
      </c>
      <c r="V36" s="37">
        <f t="shared" si="27"/>
        <v>11616</v>
      </c>
    </row>
    <row r="37" spans="1:22" x14ac:dyDescent="0.25">
      <c r="A37" s="404"/>
      <c r="B37" s="400"/>
      <c r="C37" s="400"/>
      <c r="D37" s="14" t="s">
        <v>271</v>
      </c>
      <c r="E37" s="14">
        <v>8</v>
      </c>
      <c r="F37" s="14">
        <v>8</v>
      </c>
      <c r="G37" s="14">
        <v>8</v>
      </c>
      <c r="H37" s="14" t="s">
        <v>156</v>
      </c>
      <c r="I37" s="17">
        <v>0.01</v>
      </c>
      <c r="J37" s="17">
        <v>0.01</v>
      </c>
      <c r="K37" s="32">
        <v>0</v>
      </c>
      <c r="L37" s="5">
        <f t="shared" si="23"/>
        <v>0</v>
      </c>
      <c r="M37" s="5">
        <f t="shared" si="20"/>
        <v>0</v>
      </c>
      <c r="N37" s="5">
        <f t="shared" si="20"/>
        <v>0</v>
      </c>
      <c r="O37" s="32">
        <f>+$J37*$B$5</f>
        <v>3.37</v>
      </c>
      <c r="P37" s="14">
        <f t="shared" si="26"/>
        <v>26.96</v>
      </c>
      <c r="Q37" s="14">
        <f t="shared" si="26"/>
        <v>26.96</v>
      </c>
      <c r="R37" s="14">
        <f t="shared" si="26"/>
        <v>26.96</v>
      </c>
      <c r="S37" s="32">
        <f>+J37*S35</f>
        <v>72.600000000000009</v>
      </c>
      <c r="T37" s="37">
        <f t="shared" si="27"/>
        <v>580.80000000000007</v>
      </c>
      <c r="U37" s="37">
        <f t="shared" si="27"/>
        <v>580.80000000000007</v>
      </c>
      <c r="V37" s="37">
        <f t="shared" si="27"/>
        <v>580.80000000000007</v>
      </c>
    </row>
    <row r="38" spans="1:22" x14ac:dyDescent="0.25">
      <c r="A38" s="404"/>
      <c r="B38" s="400"/>
      <c r="C38" s="400"/>
      <c r="D38" s="14" t="s">
        <v>230</v>
      </c>
      <c r="E38" s="14">
        <v>40</v>
      </c>
      <c r="F38" s="14">
        <v>50</v>
      </c>
      <c r="G38" s="14">
        <v>100</v>
      </c>
      <c r="H38" s="14" t="s">
        <v>156</v>
      </c>
      <c r="I38" s="17">
        <v>0.01</v>
      </c>
      <c r="J38" s="17">
        <v>0.01</v>
      </c>
      <c r="K38" s="32">
        <v>0</v>
      </c>
      <c r="L38" s="5">
        <f t="shared" si="23"/>
        <v>0</v>
      </c>
      <c r="M38" s="5">
        <f t="shared" si="20"/>
        <v>0</v>
      </c>
      <c r="N38" s="5">
        <f t="shared" si="20"/>
        <v>0</v>
      </c>
      <c r="O38" s="32">
        <f t="shared" ref="O38:O40" si="28">+$J38*$B$5</f>
        <v>3.37</v>
      </c>
      <c r="P38" s="14">
        <f t="shared" si="26"/>
        <v>134.80000000000001</v>
      </c>
      <c r="Q38" s="14">
        <f t="shared" si="26"/>
        <v>168.5</v>
      </c>
      <c r="R38" s="14">
        <f t="shared" si="26"/>
        <v>337</v>
      </c>
      <c r="S38" s="32">
        <f>+J38*S35</f>
        <v>72.600000000000009</v>
      </c>
      <c r="T38" s="37">
        <f t="shared" si="27"/>
        <v>2904.0000000000005</v>
      </c>
      <c r="U38" s="37">
        <f t="shared" si="27"/>
        <v>3630.0000000000005</v>
      </c>
      <c r="V38" s="37">
        <f t="shared" si="27"/>
        <v>7260.0000000000009</v>
      </c>
    </row>
    <row r="39" spans="1:22" x14ac:dyDescent="0.25">
      <c r="A39" s="404"/>
      <c r="B39" s="400"/>
      <c r="C39" s="400"/>
      <c r="D39" s="14" t="s">
        <v>266</v>
      </c>
      <c r="E39" s="14">
        <v>4</v>
      </c>
      <c r="F39" s="14">
        <v>6</v>
      </c>
      <c r="G39" s="14">
        <v>8</v>
      </c>
      <c r="H39" s="14" t="s">
        <v>156</v>
      </c>
      <c r="I39" s="18" t="s">
        <v>272</v>
      </c>
      <c r="J39" s="16">
        <v>8.9999999999999993E-3</v>
      </c>
      <c r="K39" s="32">
        <v>0</v>
      </c>
      <c r="L39" s="5">
        <f t="shared" si="23"/>
        <v>0</v>
      </c>
      <c r="M39" s="5">
        <f t="shared" si="20"/>
        <v>0</v>
      </c>
      <c r="N39" s="5">
        <f t="shared" si="20"/>
        <v>0</v>
      </c>
      <c r="O39" s="32">
        <f>+$J39*$B$5</f>
        <v>3.0329999999999999</v>
      </c>
      <c r="P39" s="14">
        <f t="shared" si="26"/>
        <v>12.132</v>
      </c>
      <c r="Q39" s="14">
        <f t="shared" si="26"/>
        <v>18.198</v>
      </c>
      <c r="R39" s="14">
        <f t="shared" si="26"/>
        <v>24.263999999999999</v>
      </c>
      <c r="S39" s="32">
        <f>+J39*$S$35</f>
        <v>65.339999999999989</v>
      </c>
      <c r="T39" s="37">
        <f t="shared" si="27"/>
        <v>261.35999999999996</v>
      </c>
      <c r="U39" s="37">
        <f t="shared" si="27"/>
        <v>392.03999999999996</v>
      </c>
      <c r="V39" s="37">
        <f t="shared" si="27"/>
        <v>522.71999999999991</v>
      </c>
    </row>
    <row r="40" spans="1:22" x14ac:dyDescent="0.25">
      <c r="A40" s="404"/>
      <c r="B40" s="400"/>
      <c r="C40" s="400"/>
      <c r="D40" s="14" t="s">
        <v>267</v>
      </c>
      <c r="E40" s="14">
        <v>24</v>
      </c>
      <c r="F40" s="14">
        <v>30</v>
      </c>
      <c r="G40" s="14">
        <v>36</v>
      </c>
      <c r="H40" s="14" t="s">
        <v>156</v>
      </c>
      <c r="I40" s="19" t="s">
        <v>272</v>
      </c>
      <c r="J40" s="16">
        <v>8.9999999999999993E-3</v>
      </c>
      <c r="K40" s="32">
        <v>0</v>
      </c>
      <c r="L40" s="5">
        <f t="shared" si="23"/>
        <v>0</v>
      </c>
      <c r="M40" s="5">
        <f t="shared" si="23"/>
        <v>0</v>
      </c>
      <c r="N40" s="5">
        <f t="shared" si="23"/>
        <v>0</v>
      </c>
      <c r="O40" s="32">
        <f t="shared" si="28"/>
        <v>3.0329999999999999</v>
      </c>
      <c r="P40" s="14">
        <f t="shared" si="26"/>
        <v>72.792000000000002</v>
      </c>
      <c r="Q40" s="14">
        <f t="shared" si="26"/>
        <v>90.99</v>
      </c>
      <c r="R40" s="14">
        <f t="shared" si="26"/>
        <v>109.188</v>
      </c>
      <c r="S40" s="32">
        <f t="shared" ref="S40:S41" si="29">+J40*$S$35</f>
        <v>65.339999999999989</v>
      </c>
      <c r="T40" s="37">
        <f t="shared" si="27"/>
        <v>1568.1599999999999</v>
      </c>
      <c r="U40" s="37">
        <f t="shared" si="27"/>
        <v>1960.1999999999996</v>
      </c>
      <c r="V40" s="37">
        <f t="shared" si="27"/>
        <v>2352.2399999999998</v>
      </c>
    </row>
    <row r="41" spans="1:22" x14ac:dyDescent="0.25">
      <c r="A41" s="405"/>
      <c r="B41" s="401"/>
      <c r="C41" s="401"/>
      <c r="D41" s="14" t="s">
        <v>273</v>
      </c>
      <c r="E41" s="14">
        <v>40</v>
      </c>
      <c r="F41" s="14">
        <v>50</v>
      </c>
      <c r="G41" s="14">
        <v>100</v>
      </c>
      <c r="H41" s="14" t="s">
        <v>156</v>
      </c>
      <c r="I41" s="16">
        <v>1E-3</v>
      </c>
      <c r="J41" s="16">
        <v>1E-3</v>
      </c>
      <c r="K41" s="32">
        <v>0</v>
      </c>
      <c r="L41" s="5">
        <f t="shared" si="23"/>
        <v>0</v>
      </c>
      <c r="M41" s="5">
        <f t="shared" si="23"/>
        <v>0</v>
      </c>
      <c r="N41" s="5">
        <f t="shared" si="23"/>
        <v>0</v>
      </c>
      <c r="O41" s="32">
        <f>+$J41*$B$5</f>
        <v>0.33700000000000002</v>
      </c>
      <c r="P41" s="14">
        <f t="shared" si="26"/>
        <v>13.48</v>
      </c>
      <c r="Q41" s="14">
        <f t="shared" si="26"/>
        <v>16.850000000000001</v>
      </c>
      <c r="R41" s="14">
        <f t="shared" si="26"/>
        <v>33.700000000000003</v>
      </c>
      <c r="S41" s="32">
        <f t="shared" si="29"/>
        <v>7.26</v>
      </c>
      <c r="T41" s="37">
        <f t="shared" si="27"/>
        <v>290.39999999999998</v>
      </c>
      <c r="U41" s="37">
        <f t="shared" si="27"/>
        <v>363</v>
      </c>
      <c r="V41" s="37">
        <f>+$S41*G41</f>
        <v>726</v>
      </c>
    </row>
    <row r="42" spans="1:22" ht="15" x14ac:dyDescent="0.25">
      <c r="A42" s="382" t="s">
        <v>201</v>
      </c>
      <c r="B42" s="383"/>
      <c r="C42" s="383"/>
      <c r="D42" s="383"/>
      <c r="E42" s="383"/>
      <c r="F42" s="383"/>
      <c r="G42" s="383"/>
      <c r="H42" s="383"/>
      <c r="I42" s="383"/>
      <c r="J42" s="383"/>
      <c r="K42" s="384"/>
      <c r="L42" s="39">
        <f>SUM(L13:L41)</f>
        <v>1856.1307901907355</v>
      </c>
      <c r="M42" s="39">
        <f>SUM(M13:M41)</f>
        <v>6959.4005449591286</v>
      </c>
      <c r="N42" s="39">
        <f>SUM(N13:N41)</f>
        <v>378772.20708446862</v>
      </c>
      <c r="O42" s="40"/>
      <c r="P42" s="39">
        <f>SUM(P13:P41)</f>
        <v>63309.62131209689</v>
      </c>
      <c r="Q42" s="39">
        <f>SUM(Q13:Q41)</f>
        <v>79978.96473686985</v>
      </c>
      <c r="R42" s="39">
        <f>SUM(R13:R41)</f>
        <v>97098.233547979471</v>
      </c>
      <c r="S42" s="41"/>
      <c r="T42" s="39">
        <f>SUM(T13:T41)</f>
        <v>1532324.7318977125</v>
      </c>
      <c r="U42" s="39">
        <f t="shared" ref="U42:V42" si="30">SUM(U13:U41)</f>
        <v>1937203.4827999144</v>
      </c>
      <c r="V42" s="39">
        <f t="shared" si="30"/>
        <v>2356522.6722394871</v>
      </c>
    </row>
    <row r="44" spans="1:22" ht="27.6" customHeight="1" x14ac:dyDescent="0.25">
      <c r="A44" s="395" t="s">
        <v>202</v>
      </c>
      <c r="B44" s="396"/>
      <c r="C44" s="396"/>
      <c r="D44" s="396"/>
      <c r="E44" s="397"/>
    </row>
  </sheetData>
  <sheetProtection algorithmName="SHA-512" hashValue="Sr+Zpea/roEMag5iqXqpPh36Gfe/nVPVXUNft7h7WOmrTtLNhsiKBoxaItZx5C+obW6HTnrlIOTgqTqtp2kl0w==" saltValue="3ZxMPjyXBrjlzfzcrtVO7Q==" spinCount="100000" sheet="1" objects="1" scenarios="1"/>
  <mergeCells count="30">
    <mergeCell ref="A44:E44"/>
    <mergeCell ref="C30:C34"/>
    <mergeCell ref="C35:C41"/>
    <mergeCell ref="A42:K42"/>
    <mergeCell ref="A13:A15"/>
    <mergeCell ref="B13:C14"/>
    <mergeCell ref="B15:C15"/>
    <mergeCell ref="A16:A41"/>
    <mergeCell ref="B16:B24"/>
    <mergeCell ref="C16:C20"/>
    <mergeCell ref="C21:C22"/>
    <mergeCell ref="C23:C24"/>
    <mergeCell ref="B25:B41"/>
    <mergeCell ref="C25:C29"/>
    <mergeCell ref="H12:I12"/>
    <mergeCell ref="A2:B2"/>
    <mergeCell ref="A10:D10"/>
    <mergeCell ref="E10:G10"/>
    <mergeCell ref="H10:K10"/>
    <mergeCell ref="A11:A12"/>
    <mergeCell ref="B11:C12"/>
    <mergeCell ref="D11:D12"/>
    <mergeCell ref="E11:G11"/>
    <mergeCell ref="X2:AA2"/>
    <mergeCell ref="L10:V10"/>
    <mergeCell ref="X10:AB10"/>
    <mergeCell ref="H11:J11"/>
    <mergeCell ref="K11:N11"/>
    <mergeCell ref="O11:R11"/>
    <mergeCell ref="S11:V11"/>
  </mergeCells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140"/>
  <sheetViews>
    <sheetView zoomScale="70" zoomScaleNormal="70" workbookViewId="0">
      <selection activeCell="G19" sqref="G19:G20"/>
    </sheetView>
  </sheetViews>
  <sheetFormatPr baseColWidth="10" defaultColWidth="10.625" defaultRowHeight="15" x14ac:dyDescent="0.25"/>
  <cols>
    <col min="1" max="1" width="10.625" style="144"/>
    <col min="2" max="2" width="29.625" style="144" customWidth="1"/>
    <col min="3" max="3" width="25.625" style="144" customWidth="1"/>
    <col min="4" max="4" width="31.125" style="144" customWidth="1"/>
    <col min="5" max="5" width="18.375" style="144" customWidth="1"/>
    <col min="6" max="6" width="22.375" style="144" customWidth="1"/>
    <col min="7" max="7" width="20.625" style="144" bestFit="1" customWidth="1"/>
    <col min="8" max="8" width="20.125" style="144" bestFit="1" customWidth="1"/>
    <col min="9" max="9" width="18.5" style="144" customWidth="1"/>
    <col min="10" max="10" width="23.625" style="144" customWidth="1"/>
    <col min="11" max="11" width="22.125" style="144" customWidth="1"/>
    <col min="12" max="12" width="17.625" style="144" customWidth="1"/>
    <col min="13" max="13" width="10.625" style="144"/>
    <col min="14" max="15" width="10.625" style="144" customWidth="1"/>
    <col min="16" max="16" width="13.625" style="144" customWidth="1"/>
    <col min="17" max="17" width="10.625" style="144"/>
    <col min="18" max="18" width="28" style="144" customWidth="1"/>
    <col min="19" max="19" width="26.625" style="144" customWidth="1"/>
    <col min="20" max="20" width="26.125" style="161" customWidth="1"/>
    <col min="21" max="26" width="10.625" style="161"/>
    <col min="27" max="27" width="40.625" style="161" customWidth="1"/>
    <col min="28" max="28" width="35.125" style="144" customWidth="1"/>
    <col min="29" max="30" width="10.625" style="144"/>
    <col min="31" max="31" width="37.125" style="144" customWidth="1"/>
    <col min="32" max="32" width="18.125" style="144" customWidth="1"/>
    <col min="33" max="33" width="18" style="144" customWidth="1"/>
    <col min="34" max="16384" width="10.625" style="144"/>
  </cols>
  <sheetData>
    <row r="1" spans="1:27" ht="15.75" thickBot="1" x14ac:dyDescent="0.3">
      <c r="A1" s="418" t="s">
        <v>274</v>
      </c>
      <c r="B1" s="419"/>
      <c r="C1" s="419"/>
      <c r="D1" s="419"/>
      <c r="E1" s="419"/>
      <c r="F1" s="419"/>
      <c r="G1" s="419"/>
      <c r="H1" s="419"/>
      <c r="I1" s="419"/>
      <c r="J1" s="419"/>
      <c r="K1" s="419"/>
      <c r="L1" s="419"/>
      <c r="M1" s="143"/>
      <c r="T1" s="144"/>
      <c r="U1" s="144"/>
      <c r="V1" s="144"/>
      <c r="W1" s="144"/>
      <c r="X1" s="144"/>
      <c r="Y1" s="144"/>
      <c r="Z1" s="144"/>
      <c r="AA1" s="144"/>
    </row>
    <row r="2" spans="1:27" x14ac:dyDescent="0.25">
      <c r="A2" s="420"/>
      <c r="B2" s="421"/>
      <c r="C2" s="421"/>
      <c r="D2" s="421"/>
      <c r="E2" s="421"/>
      <c r="F2" s="421"/>
      <c r="G2" s="421"/>
      <c r="H2" s="421"/>
      <c r="I2" s="421"/>
      <c r="J2" s="421"/>
      <c r="K2" s="421"/>
      <c r="L2" s="421"/>
      <c r="M2" s="145"/>
      <c r="T2" s="144"/>
      <c r="U2" s="144"/>
      <c r="V2" s="144"/>
      <c r="W2" s="144"/>
      <c r="X2" s="144"/>
      <c r="Y2" s="144"/>
      <c r="Z2" s="144"/>
      <c r="AA2" s="144"/>
    </row>
    <row r="3" spans="1:27" x14ac:dyDescent="0.25">
      <c r="A3" s="422"/>
      <c r="B3" s="423"/>
      <c r="C3" s="423"/>
      <c r="D3" s="423"/>
      <c r="E3" s="423"/>
      <c r="F3" s="423"/>
      <c r="G3" s="423"/>
      <c r="H3" s="423"/>
      <c r="I3" s="423"/>
      <c r="J3" s="423"/>
      <c r="K3" s="423"/>
      <c r="L3" s="423"/>
      <c r="M3" s="145"/>
      <c r="T3" s="144"/>
      <c r="U3" s="144"/>
      <c r="V3" s="144"/>
      <c r="W3" s="144"/>
      <c r="X3" s="144"/>
      <c r="Y3" s="144"/>
      <c r="Z3" s="144"/>
      <c r="AA3" s="144"/>
    </row>
    <row r="4" spans="1:27" x14ac:dyDescent="0.25">
      <c r="A4" s="422"/>
      <c r="B4" s="423"/>
      <c r="C4" s="423"/>
      <c r="D4" s="423"/>
      <c r="E4" s="423"/>
      <c r="F4" s="423"/>
      <c r="G4" s="423"/>
      <c r="H4" s="423"/>
      <c r="I4" s="423"/>
      <c r="J4" s="423"/>
      <c r="K4" s="423"/>
      <c r="L4" s="423"/>
      <c r="M4" s="145"/>
      <c r="T4" s="144"/>
      <c r="U4" s="144"/>
      <c r="V4" s="144"/>
      <c r="W4" s="144"/>
      <c r="X4" s="144"/>
      <c r="Y4" s="144"/>
      <c r="Z4" s="144"/>
      <c r="AA4" s="144"/>
    </row>
    <row r="5" spans="1:27" x14ac:dyDescent="0.25">
      <c r="A5" s="422"/>
      <c r="B5" s="423"/>
      <c r="C5" s="423"/>
      <c r="D5" s="423"/>
      <c r="E5" s="423"/>
      <c r="F5" s="423"/>
      <c r="G5" s="423"/>
      <c r="H5" s="423"/>
      <c r="I5" s="423"/>
      <c r="J5" s="423"/>
      <c r="K5" s="423"/>
      <c r="L5" s="423"/>
      <c r="M5" s="145"/>
      <c r="T5" s="144"/>
      <c r="U5" s="144"/>
      <c r="V5" s="144"/>
      <c r="W5" s="144"/>
      <c r="X5" s="144"/>
      <c r="Y5" s="144"/>
      <c r="Z5" s="144"/>
      <c r="AA5" s="144"/>
    </row>
    <row r="6" spans="1:27" x14ac:dyDescent="0.25">
      <c r="A6" s="422"/>
      <c r="B6" s="423"/>
      <c r="C6" s="423"/>
      <c r="D6" s="423"/>
      <c r="E6" s="423"/>
      <c r="F6" s="423"/>
      <c r="G6" s="423"/>
      <c r="H6" s="423"/>
      <c r="I6" s="423"/>
      <c r="J6" s="423"/>
      <c r="K6" s="423"/>
      <c r="L6" s="423"/>
      <c r="M6" s="145"/>
      <c r="T6" s="144"/>
      <c r="U6" s="144"/>
      <c r="V6" s="144"/>
      <c r="W6" s="144"/>
      <c r="X6" s="144"/>
      <c r="Y6" s="144"/>
      <c r="Z6" s="144"/>
      <c r="AA6" s="144"/>
    </row>
    <row r="7" spans="1:27" x14ac:dyDescent="0.25">
      <c r="A7" s="422"/>
      <c r="B7" s="423"/>
      <c r="C7" s="423"/>
      <c r="D7" s="423"/>
      <c r="E7" s="423"/>
      <c r="F7" s="423"/>
      <c r="G7" s="423"/>
      <c r="H7" s="423"/>
      <c r="I7" s="423"/>
      <c r="J7" s="423"/>
      <c r="K7" s="423"/>
      <c r="L7" s="423"/>
      <c r="M7" s="145"/>
      <c r="T7" s="144"/>
      <c r="U7" s="144"/>
      <c r="V7" s="144"/>
      <c r="W7" s="144"/>
      <c r="X7" s="144"/>
      <c r="Y7" s="144"/>
      <c r="Z7" s="144"/>
      <c r="AA7" s="144"/>
    </row>
    <row r="8" spans="1:27" x14ac:dyDescent="0.25">
      <c r="A8" s="422"/>
      <c r="B8" s="423"/>
      <c r="C8" s="423"/>
      <c r="D8" s="423"/>
      <c r="E8" s="423"/>
      <c r="F8" s="423"/>
      <c r="G8" s="423"/>
      <c r="H8" s="423"/>
      <c r="I8" s="423"/>
      <c r="J8" s="423"/>
      <c r="K8" s="423"/>
      <c r="L8" s="423"/>
      <c r="M8" s="145"/>
      <c r="T8" s="144"/>
      <c r="U8" s="144"/>
      <c r="V8" s="144"/>
      <c r="W8" s="144"/>
      <c r="X8" s="144"/>
      <c r="Y8" s="144"/>
      <c r="Z8" s="144"/>
      <c r="AA8" s="144"/>
    </row>
    <row r="9" spans="1:27" x14ac:dyDescent="0.25">
      <c r="A9" s="422"/>
      <c r="B9" s="423"/>
      <c r="C9" s="423"/>
      <c r="D9" s="423"/>
      <c r="E9" s="423"/>
      <c r="F9" s="423"/>
      <c r="G9" s="423"/>
      <c r="H9" s="423"/>
      <c r="I9" s="423"/>
      <c r="J9" s="423"/>
      <c r="K9" s="423"/>
      <c r="L9" s="423"/>
      <c r="M9" s="145"/>
      <c r="T9" s="144"/>
      <c r="U9" s="144"/>
      <c r="V9" s="144"/>
      <c r="W9" s="144"/>
      <c r="X9" s="144"/>
      <c r="Y9" s="144"/>
      <c r="Z9" s="144"/>
      <c r="AA9" s="144"/>
    </row>
    <row r="10" spans="1:27" x14ac:dyDescent="0.25">
      <c r="A10" s="422"/>
      <c r="B10" s="423"/>
      <c r="C10" s="423"/>
      <c r="D10" s="423"/>
      <c r="E10" s="423"/>
      <c r="F10" s="423"/>
      <c r="G10" s="423"/>
      <c r="H10" s="423"/>
      <c r="I10" s="423"/>
      <c r="J10" s="423"/>
      <c r="K10" s="423"/>
      <c r="L10" s="423"/>
      <c r="M10" s="145"/>
      <c r="T10" s="144"/>
      <c r="U10" s="144"/>
      <c r="V10" s="144"/>
      <c r="W10" s="144"/>
      <c r="X10" s="144"/>
      <c r="Y10" s="144"/>
      <c r="Z10" s="144"/>
      <c r="AA10" s="144"/>
    </row>
    <row r="11" spans="1:27" x14ac:dyDescent="0.25">
      <c r="A11" s="422"/>
      <c r="B11" s="423"/>
      <c r="C11" s="423"/>
      <c r="D11" s="423"/>
      <c r="E11" s="423"/>
      <c r="F11" s="423"/>
      <c r="G11" s="423"/>
      <c r="H11" s="423"/>
      <c r="I11" s="423"/>
      <c r="J11" s="423"/>
      <c r="K11" s="423"/>
      <c r="L11" s="423"/>
      <c r="M11" s="145"/>
      <c r="T11" s="144"/>
      <c r="U11" s="144"/>
      <c r="V11" s="144"/>
      <c r="W11" s="144"/>
      <c r="X11" s="144"/>
      <c r="Y11" s="144"/>
      <c r="Z11" s="144"/>
      <c r="AA11" s="144"/>
    </row>
    <row r="12" spans="1:27" x14ac:dyDescent="0.25">
      <c r="A12" s="422"/>
      <c r="B12" s="423"/>
      <c r="C12" s="423"/>
      <c r="D12" s="423"/>
      <c r="E12" s="423"/>
      <c r="F12" s="423"/>
      <c r="G12" s="423"/>
      <c r="H12" s="423"/>
      <c r="I12" s="423"/>
      <c r="J12" s="423"/>
      <c r="K12" s="423"/>
      <c r="L12" s="423"/>
      <c r="M12" s="145"/>
      <c r="T12" s="144"/>
      <c r="U12" s="144"/>
      <c r="V12" s="144"/>
      <c r="W12" s="144"/>
      <c r="X12" s="144"/>
      <c r="Y12" s="144"/>
      <c r="Z12" s="144"/>
      <c r="AA12" s="144"/>
    </row>
    <row r="13" spans="1:27" x14ac:dyDescent="0.25">
      <c r="A13" s="422"/>
      <c r="B13" s="423"/>
      <c r="C13" s="423"/>
      <c r="D13" s="423"/>
      <c r="E13" s="423"/>
      <c r="F13" s="423"/>
      <c r="G13" s="423"/>
      <c r="H13" s="423"/>
      <c r="I13" s="423"/>
      <c r="J13" s="423"/>
      <c r="K13" s="423"/>
      <c r="L13" s="423"/>
      <c r="M13" s="145"/>
      <c r="T13" s="144"/>
      <c r="U13" s="144"/>
      <c r="V13" s="144"/>
      <c r="W13" s="144"/>
      <c r="X13" s="144"/>
      <c r="Y13" s="144"/>
      <c r="Z13" s="144"/>
      <c r="AA13" s="144"/>
    </row>
    <row r="14" spans="1:27" x14ac:dyDescent="0.25">
      <c r="A14" s="422"/>
      <c r="B14" s="423"/>
      <c r="C14" s="423"/>
      <c r="D14" s="423"/>
      <c r="E14" s="423"/>
      <c r="F14" s="423"/>
      <c r="G14" s="423"/>
      <c r="H14" s="423"/>
      <c r="I14" s="423"/>
      <c r="J14" s="423"/>
      <c r="K14" s="423"/>
      <c r="L14" s="423"/>
      <c r="M14" s="145"/>
      <c r="T14" s="144"/>
      <c r="U14" s="144"/>
      <c r="V14" s="144"/>
      <c r="W14" s="144"/>
      <c r="X14" s="144"/>
      <c r="Y14" s="144"/>
      <c r="Z14" s="144"/>
      <c r="AA14" s="144"/>
    </row>
    <row r="15" spans="1:27" x14ac:dyDescent="0.25">
      <c r="A15" s="422"/>
      <c r="B15" s="423"/>
      <c r="C15" s="423"/>
      <c r="D15" s="423"/>
      <c r="E15" s="423"/>
      <c r="F15" s="423"/>
      <c r="G15" s="423"/>
      <c r="H15" s="423"/>
      <c r="I15" s="423"/>
      <c r="J15" s="423"/>
      <c r="K15" s="423"/>
      <c r="L15" s="423"/>
      <c r="M15" s="145"/>
      <c r="T15" s="144"/>
      <c r="U15" s="144"/>
      <c r="V15" s="144"/>
      <c r="W15" s="144"/>
      <c r="X15" s="144"/>
      <c r="Y15" s="144"/>
      <c r="Z15" s="144"/>
      <c r="AA15" s="144"/>
    </row>
    <row r="16" spans="1:27" x14ac:dyDescent="0.25">
      <c r="A16" s="145"/>
      <c r="B16" s="145"/>
      <c r="C16" s="145"/>
      <c r="D16" s="145"/>
      <c r="E16" s="145"/>
      <c r="F16" s="145"/>
      <c r="G16" s="145"/>
      <c r="H16" s="145"/>
      <c r="I16" s="145"/>
      <c r="J16" s="145"/>
      <c r="K16" s="145"/>
      <c r="L16" s="145"/>
      <c r="M16" s="145"/>
      <c r="T16" s="144"/>
      <c r="U16" s="144"/>
      <c r="V16" s="144"/>
      <c r="W16" s="144"/>
      <c r="X16" s="144"/>
      <c r="Y16" s="144"/>
      <c r="Z16" s="144"/>
      <c r="AA16" s="144"/>
    </row>
    <row r="17" spans="1:27" ht="15.75" thickBot="1" x14ac:dyDescent="0.3">
      <c r="T17" s="144"/>
      <c r="U17" s="144"/>
      <c r="V17" s="144"/>
      <c r="W17" s="144"/>
      <c r="X17" s="144"/>
      <c r="Y17" s="144"/>
      <c r="Z17" s="144"/>
      <c r="AA17" s="144"/>
    </row>
    <row r="18" spans="1:27" x14ac:dyDescent="0.25">
      <c r="B18" s="416" t="s">
        <v>275</v>
      </c>
      <c r="C18" s="417"/>
      <c r="D18" s="417"/>
      <c r="E18" s="417"/>
      <c r="F18" s="417"/>
      <c r="G18" s="417"/>
      <c r="H18" s="427"/>
      <c r="T18" s="144"/>
      <c r="U18" s="144"/>
      <c r="V18" s="144"/>
      <c r="W18" s="144"/>
      <c r="X18" s="144"/>
      <c r="Y18" s="144"/>
      <c r="Z18" s="144"/>
      <c r="AA18" s="144"/>
    </row>
    <row r="19" spans="1:27" x14ac:dyDescent="0.25">
      <c r="B19" s="147">
        <v>2025</v>
      </c>
      <c r="C19" s="424" t="s">
        <v>276</v>
      </c>
      <c r="D19" s="424"/>
      <c r="E19" s="424"/>
      <c r="F19" s="424"/>
      <c r="G19" s="425" t="s">
        <v>82</v>
      </c>
      <c r="H19" s="425" t="s">
        <v>8</v>
      </c>
      <c r="T19" s="144"/>
      <c r="U19" s="144"/>
      <c r="V19" s="144"/>
      <c r="W19" s="144"/>
      <c r="X19" s="144"/>
      <c r="Y19" s="144"/>
      <c r="Z19" s="144"/>
      <c r="AA19" s="144"/>
    </row>
    <row r="20" spans="1:27" ht="30" customHeight="1" thickBot="1" x14ac:dyDescent="0.3">
      <c r="B20" s="149" t="s">
        <v>277</v>
      </c>
      <c r="C20" s="150" t="s">
        <v>278</v>
      </c>
      <c r="D20" s="150" t="s">
        <v>279</v>
      </c>
      <c r="E20" s="150" t="s">
        <v>280</v>
      </c>
      <c r="F20" s="150" t="s">
        <v>281</v>
      </c>
      <c r="G20" s="425"/>
      <c r="H20" s="425"/>
      <c r="T20" s="144"/>
      <c r="U20" s="144"/>
      <c r="V20" s="144"/>
      <c r="W20" s="144"/>
      <c r="X20" s="144"/>
      <c r="Y20" s="144"/>
      <c r="Z20" s="144"/>
      <c r="AA20" s="144"/>
    </row>
    <row r="21" spans="1:27" ht="31.5" customHeight="1" x14ac:dyDescent="0.25">
      <c r="B21" s="265" t="s">
        <v>282</v>
      </c>
      <c r="C21" s="323">
        <v>17783</v>
      </c>
      <c r="D21" s="324">
        <v>0</v>
      </c>
      <c r="E21" s="324">
        <v>12</v>
      </c>
      <c r="F21" s="323">
        <v>5736</v>
      </c>
      <c r="G21" s="324">
        <v>169</v>
      </c>
      <c r="H21" s="325">
        <f>SUM(C21:G21)</f>
        <v>23700</v>
      </c>
      <c r="I21" s="326" t="s">
        <v>283</v>
      </c>
      <c r="T21" s="144"/>
      <c r="U21" s="144"/>
      <c r="V21" s="144"/>
      <c r="W21" s="144"/>
      <c r="X21" s="144"/>
      <c r="Y21" s="144"/>
      <c r="Z21" s="144"/>
      <c r="AA21" s="144"/>
    </row>
    <row r="22" spans="1:27" ht="28.5" customHeight="1" x14ac:dyDescent="0.25">
      <c r="B22" s="266" t="s">
        <v>284</v>
      </c>
      <c r="C22" s="327">
        <v>5</v>
      </c>
      <c r="D22" s="327">
        <v>0</v>
      </c>
      <c r="E22" s="327">
        <v>3</v>
      </c>
      <c r="F22" s="327">
        <v>9</v>
      </c>
      <c r="G22" s="327">
        <v>3</v>
      </c>
      <c r="H22" s="328">
        <f>SUM(C22:G22)</f>
        <v>20</v>
      </c>
      <c r="I22" s="326"/>
      <c r="T22" s="144"/>
      <c r="U22" s="144"/>
      <c r="V22" s="144"/>
      <c r="W22" s="144"/>
      <c r="X22" s="144"/>
      <c r="Y22" s="144"/>
      <c r="Z22" s="144"/>
      <c r="AA22" s="144"/>
    </row>
    <row r="23" spans="1:27" ht="29.1" customHeight="1" thickBot="1" x14ac:dyDescent="0.3">
      <c r="B23" s="267" t="s">
        <v>285</v>
      </c>
      <c r="C23" s="329">
        <v>117</v>
      </c>
      <c r="D23" s="329">
        <v>0</v>
      </c>
      <c r="E23" s="329">
        <v>1</v>
      </c>
      <c r="F23" s="329">
        <v>30</v>
      </c>
      <c r="G23" s="329">
        <v>0</v>
      </c>
      <c r="H23" s="330">
        <f>SUM(C23:G23)</f>
        <v>148</v>
      </c>
      <c r="I23" s="326"/>
      <c r="T23" s="144"/>
      <c r="U23" s="144"/>
      <c r="V23" s="144"/>
      <c r="W23" s="144"/>
      <c r="X23" s="144"/>
      <c r="Y23" s="144"/>
      <c r="Z23" s="144"/>
      <c r="AA23" s="144"/>
    </row>
    <row r="24" spans="1:27" x14ac:dyDescent="0.25">
      <c r="B24" s="151"/>
      <c r="C24" s="152"/>
      <c r="D24" s="152"/>
      <c r="E24" s="152"/>
      <c r="F24" s="152"/>
      <c r="G24" s="152"/>
      <c r="H24" s="151"/>
      <c r="T24" s="144"/>
      <c r="U24" s="144"/>
      <c r="V24" s="144"/>
      <c r="W24" s="144"/>
      <c r="X24" s="144"/>
      <c r="Y24" s="144"/>
      <c r="Z24" s="144"/>
      <c r="AA24" s="144"/>
    </row>
    <row r="25" spans="1:27" ht="15.75" thickBot="1" x14ac:dyDescent="0.3">
      <c r="T25" s="144"/>
      <c r="U25" s="144"/>
      <c r="V25" s="144"/>
      <c r="W25" s="144"/>
      <c r="X25" s="144"/>
      <c r="Y25" s="144"/>
      <c r="Z25" s="144"/>
      <c r="AA25" s="144"/>
    </row>
    <row r="26" spans="1:27" ht="23.25" customHeight="1" x14ac:dyDescent="0.25">
      <c r="B26" s="411" t="s">
        <v>286</v>
      </c>
      <c r="C26" s="428"/>
      <c r="D26" s="428"/>
      <c r="E26" s="428"/>
      <c r="F26" s="428"/>
      <c r="G26" s="412"/>
      <c r="T26" s="144"/>
      <c r="U26" s="144"/>
      <c r="V26" s="144"/>
      <c r="W26" s="144"/>
      <c r="X26" s="144"/>
      <c r="Y26" s="144"/>
      <c r="Z26" s="144"/>
      <c r="AA26" s="144"/>
    </row>
    <row r="27" spans="1:27" x14ac:dyDescent="0.25">
      <c r="B27" s="153">
        <v>2022</v>
      </c>
      <c r="C27" s="426" t="s">
        <v>287</v>
      </c>
      <c r="D27" s="426"/>
      <c r="E27" s="426"/>
      <c r="F27" s="426"/>
      <c r="G27" s="154" t="s">
        <v>8</v>
      </c>
      <c r="T27" s="144"/>
      <c r="U27" s="144"/>
      <c r="V27" s="144"/>
      <c r="W27" s="144"/>
      <c r="X27" s="144"/>
      <c r="Y27" s="144"/>
      <c r="Z27" s="144"/>
      <c r="AA27" s="144"/>
    </row>
    <row r="28" spans="1:27" ht="16.5" customHeight="1" thickBot="1" x14ac:dyDescent="0.3">
      <c r="B28" s="149" t="s">
        <v>277</v>
      </c>
      <c r="C28" s="150" t="s">
        <v>288</v>
      </c>
      <c r="D28" s="150" t="s">
        <v>289</v>
      </c>
      <c r="E28" s="150" t="s">
        <v>290</v>
      </c>
      <c r="F28" s="150" t="s">
        <v>82</v>
      </c>
      <c r="G28" s="148"/>
      <c r="T28" s="144"/>
      <c r="U28" s="144"/>
      <c r="V28" s="144"/>
      <c r="W28" s="144"/>
      <c r="X28" s="144"/>
      <c r="Y28" s="144"/>
      <c r="Z28" s="144"/>
      <c r="AA28" s="144"/>
    </row>
    <row r="29" spans="1:27" x14ac:dyDescent="0.25">
      <c r="B29" s="155" t="s">
        <v>282</v>
      </c>
      <c r="C29" s="156">
        <f>E21/H21</f>
        <v>5.0632911392405066E-4</v>
      </c>
      <c r="D29" s="156">
        <f>(C21+D21)/H21</f>
        <v>0.75033755274261604</v>
      </c>
      <c r="E29" s="156">
        <f>F21/H21</f>
        <v>0.24202531645569619</v>
      </c>
      <c r="F29" s="156">
        <f>G21/H21</f>
        <v>7.1308016877637131E-3</v>
      </c>
      <c r="G29" s="157">
        <f>SUM(C29:F29)</f>
        <v>0.99999999999999989</v>
      </c>
      <c r="T29" s="144"/>
      <c r="U29" s="144"/>
      <c r="V29" s="144"/>
      <c r="W29" s="144"/>
      <c r="X29" s="144"/>
      <c r="Y29" s="144"/>
      <c r="Z29" s="144"/>
      <c r="AA29" s="144"/>
    </row>
    <row r="30" spans="1:27" ht="32.85" customHeight="1" x14ac:dyDescent="0.25">
      <c r="B30" s="158" t="s">
        <v>284</v>
      </c>
      <c r="C30" s="159">
        <f>E22/H22</f>
        <v>0.15</v>
      </c>
      <c r="D30" s="159">
        <f>(C22+D22)/H22</f>
        <v>0.25</v>
      </c>
      <c r="E30" s="159">
        <f>F22/H22</f>
        <v>0.45</v>
      </c>
      <c r="F30" s="159">
        <f>G22/H22</f>
        <v>0.15</v>
      </c>
      <c r="G30" s="160">
        <f>SUM(C30:F30)</f>
        <v>1</v>
      </c>
      <c r="T30" s="144"/>
      <c r="U30" s="144"/>
      <c r="V30" s="144"/>
      <c r="W30" s="144"/>
      <c r="X30" s="144"/>
      <c r="Y30" s="144"/>
      <c r="Z30" s="144"/>
      <c r="AA30" s="144"/>
    </row>
    <row r="31" spans="1:27" s="161" customFormat="1" x14ac:dyDescent="0.25">
      <c r="A31" s="144"/>
      <c r="B31" s="158" t="s">
        <v>285</v>
      </c>
      <c r="C31" s="159">
        <f>E23/H23</f>
        <v>6.7567567567567571E-3</v>
      </c>
      <c r="D31" s="159">
        <f>(C23+D23)/H23</f>
        <v>0.79054054054054057</v>
      </c>
      <c r="E31" s="159">
        <f>F23/H23</f>
        <v>0.20270270270270271</v>
      </c>
      <c r="F31" s="159">
        <f>G23/H23</f>
        <v>0</v>
      </c>
      <c r="G31" s="160">
        <f>SUM(C31:F31)</f>
        <v>1</v>
      </c>
      <c r="H31" s="144"/>
      <c r="I31" s="144"/>
      <c r="J31" s="144"/>
      <c r="K31" s="144"/>
      <c r="L31" s="144"/>
    </row>
    <row r="32" spans="1:27" s="161" customFormat="1" x14ac:dyDescent="0.25">
      <c r="A32" s="144"/>
      <c r="B32" s="158" t="s">
        <v>291</v>
      </c>
      <c r="C32" s="162">
        <f>AVERAGE(C29:C31)</f>
        <v>5.2421028623560274E-2</v>
      </c>
      <c r="D32" s="162">
        <f t="shared" ref="D32:F32" si="0">AVERAGE(D29:D31)</f>
        <v>0.59695936442771891</v>
      </c>
      <c r="E32" s="162">
        <f t="shared" si="0"/>
        <v>0.29824267305279967</v>
      </c>
      <c r="F32" s="162">
        <f t="shared" si="0"/>
        <v>5.237693389592124E-2</v>
      </c>
      <c r="G32" s="160"/>
      <c r="H32" s="144"/>
      <c r="I32" s="144"/>
      <c r="J32" s="144"/>
      <c r="K32" s="144"/>
      <c r="L32" s="144"/>
    </row>
    <row r="33" spans="1:12" s="161" customFormat="1" x14ac:dyDescent="0.25">
      <c r="A33" s="144"/>
      <c r="B33" s="158" t="s">
        <v>292</v>
      </c>
      <c r="C33" s="159">
        <f>+$F$32/3</f>
        <v>1.7458977965307081E-2</v>
      </c>
      <c r="D33" s="159">
        <f t="shared" ref="D33:E33" si="1">+$F$32/3</f>
        <v>1.7458977965307081E-2</v>
      </c>
      <c r="E33" s="159">
        <f t="shared" si="1"/>
        <v>1.7458977965307081E-2</v>
      </c>
      <c r="F33" s="159"/>
      <c r="G33" s="160"/>
      <c r="H33" s="144"/>
      <c r="I33" s="144"/>
      <c r="J33" s="144"/>
      <c r="K33" s="144"/>
      <c r="L33" s="144"/>
    </row>
    <row r="34" spans="1:12" s="161" customFormat="1" ht="15.75" thickBot="1" x14ac:dyDescent="0.3">
      <c r="A34" s="144"/>
      <c r="B34" s="163" t="s">
        <v>293</v>
      </c>
      <c r="C34" s="164">
        <f>+C32+C33</f>
        <v>6.9880006588867352E-2</v>
      </c>
      <c r="D34" s="164">
        <f t="shared" ref="D34:E34" si="2">+D32+D33</f>
        <v>0.61441834239302595</v>
      </c>
      <c r="E34" s="164">
        <f t="shared" si="2"/>
        <v>0.31570165101810677</v>
      </c>
      <c r="F34" s="164"/>
      <c r="G34" s="165">
        <f>AVERAGE(G29:G31)</f>
        <v>1</v>
      </c>
      <c r="H34" s="144"/>
      <c r="I34" s="144"/>
      <c r="J34" s="144"/>
      <c r="K34" s="144"/>
      <c r="L34" s="144"/>
    </row>
    <row r="35" spans="1:12" s="161" customFormat="1" x14ac:dyDescent="0.25">
      <c r="A35" s="144"/>
      <c r="B35" s="166"/>
      <c r="C35" s="167"/>
      <c r="D35" s="167"/>
      <c r="E35" s="167"/>
      <c r="F35" s="167"/>
      <c r="G35" s="167"/>
      <c r="H35" s="144"/>
      <c r="I35" s="144"/>
      <c r="J35" s="144"/>
      <c r="K35" s="144"/>
      <c r="L35" s="144"/>
    </row>
    <row r="36" spans="1:12" s="161" customFormat="1" x14ac:dyDescent="0.25">
      <c r="A36" s="144"/>
      <c r="B36" s="166"/>
      <c r="C36" s="167"/>
      <c r="D36" s="167"/>
      <c r="E36" s="167"/>
      <c r="F36" s="167"/>
      <c r="G36" s="167"/>
      <c r="H36" s="144"/>
      <c r="I36" s="144"/>
      <c r="J36" s="144"/>
      <c r="K36" s="144"/>
      <c r="L36" s="144"/>
    </row>
    <row r="37" spans="1:12" s="161" customFormat="1" x14ac:dyDescent="0.25">
      <c r="A37" s="144"/>
      <c r="B37" s="429" t="s">
        <v>294</v>
      </c>
      <c r="C37" s="429"/>
      <c r="D37" s="429"/>
      <c r="E37" s="429"/>
      <c r="F37" s="167"/>
      <c r="G37" s="167"/>
      <c r="H37" s="144"/>
      <c r="I37" s="144"/>
      <c r="J37" s="144"/>
      <c r="K37" s="144"/>
      <c r="L37" s="144"/>
    </row>
    <row r="38" spans="1:12" s="169" customFormat="1" ht="30" x14ac:dyDescent="0.25">
      <c r="B38" s="168" t="s">
        <v>1</v>
      </c>
      <c r="C38" s="168" t="s">
        <v>44</v>
      </c>
      <c r="D38" s="168" t="s">
        <v>4</v>
      </c>
      <c r="E38" s="168" t="s">
        <v>5</v>
      </c>
      <c r="F38" s="170"/>
      <c r="G38" s="171"/>
      <c r="H38" s="172"/>
    </row>
    <row r="39" spans="1:12" s="169" customFormat="1" x14ac:dyDescent="0.25">
      <c r="B39" s="173" t="s">
        <v>90</v>
      </c>
      <c r="C39" s="239">
        <f>+'Presupuesto 2026'!C119</f>
        <v>20577857.61331968</v>
      </c>
      <c r="D39" s="239">
        <f>+'Presupuesto 2026'!D119</f>
        <v>18426845.480042771</v>
      </c>
      <c r="E39" s="239">
        <f>+'Presupuesto 2026'!E119</f>
        <v>54992506.418793835</v>
      </c>
      <c r="F39" s="170"/>
      <c r="G39" s="171"/>
      <c r="H39" s="172"/>
      <c r="I39" s="175"/>
      <c r="J39" s="175"/>
      <c r="K39" s="175"/>
    </row>
    <row r="40" spans="1:12" s="169" customFormat="1" ht="30" x14ac:dyDescent="0.25">
      <c r="B40" s="176" t="s">
        <v>295</v>
      </c>
      <c r="C40" s="239">
        <f>+C34*'Presupuesto 2026'!$F$119</f>
        <v>1275735.8633374916</v>
      </c>
      <c r="D40" s="239">
        <f>+D34*'Presupuesto 2026'!$F$119</f>
        <v>11216878.084954718</v>
      </c>
      <c r="E40" s="239">
        <f>+E34*'Presupuesto 2026'!$F$119</f>
        <v>5763478.5395515217</v>
      </c>
      <c r="F40" s="170"/>
      <c r="G40" s="171"/>
      <c r="H40" s="172"/>
      <c r="I40" s="175"/>
      <c r="J40" s="175"/>
      <c r="K40" s="175"/>
    </row>
    <row r="41" spans="1:12" s="169" customFormat="1" x14ac:dyDescent="0.25">
      <c r="B41" s="173" t="s">
        <v>92</v>
      </c>
      <c r="C41" s="239">
        <f>C40+C39</f>
        <v>21853593.476657171</v>
      </c>
      <c r="D41" s="239">
        <f t="shared" ref="D41:E41" si="3">D40+D39</f>
        <v>29643723.564997487</v>
      </c>
      <c r="E41" s="239">
        <f t="shared" si="3"/>
        <v>60755984.958345354</v>
      </c>
      <c r="F41" s="170"/>
      <c r="G41" s="171"/>
      <c r="H41" s="172"/>
      <c r="I41" s="175"/>
      <c r="J41" s="175"/>
      <c r="K41" s="175"/>
    </row>
    <row r="42" spans="1:12" s="161" customFormat="1" ht="15.75" thickBot="1" x14ac:dyDescent="0.3">
      <c r="A42" s="144"/>
      <c r="B42" s="166"/>
      <c r="C42" s="167"/>
      <c r="D42" s="167"/>
      <c r="E42" s="167"/>
      <c r="F42" s="167"/>
      <c r="G42" s="167"/>
      <c r="H42" s="144"/>
      <c r="I42" s="144"/>
      <c r="J42" s="144"/>
      <c r="K42" s="144"/>
      <c r="L42" s="144"/>
    </row>
    <row r="43" spans="1:12" s="161" customFormat="1" x14ac:dyDescent="0.25">
      <c r="A43" s="144"/>
      <c r="B43" s="406" t="s">
        <v>296</v>
      </c>
      <c r="C43" s="407"/>
      <c r="D43" s="407"/>
      <c r="E43" s="407"/>
      <c r="F43" s="408"/>
      <c r="G43" s="167"/>
      <c r="H43" s="144"/>
      <c r="I43" s="144"/>
      <c r="J43" s="177"/>
      <c r="K43" s="144"/>
      <c r="L43" s="144"/>
    </row>
    <row r="44" spans="1:12" s="161" customFormat="1" ht="30.75" thickBot="1" x14ac:dyDescent="0.3">
      <c r="A44" s="144"/>
      <c r="B44" s="178" t="s">
        <v>1</v>
      </c>
      <c r="C44" s="179" t="s">
        <v>44</v>
      </c>
      <c r="D44" s="179" t="s">
        <v>4</v>
      </c>
      <c r="E44" s="179" t="s">
        <v>5</v>
      </c>
      <c r="F44" s="180" t="s">
        <v>297</v>
      </c>
    </row>
    <row r="45" spans="1:12" s="161" customFormat="1" x14ac:dyDescent="0.25">
      <c r="A45" s="144"/>
      <c r="B45" s="181" t="s">
        <v>298</v>
      </c>
      <c r="C45" s="182">
        <f>+$C$41*'Puertos '!AC9</f>
        <v>137505.05273590234</v>
      </c>
      <c r="D45" s="182">
        <f>+$D$41*Concesiones!AB18</f>
        <v>719494.69223594584</v>
      </c>
      <c r="E45" s="182">
        <f>+$E$41*Tránsito!AB12</f>
        <v>2801433.9092780929</v>
      </c>
      <c r="F45" s="183">
        <f>SUM(C45:E45)</f>
        <v>3658433.654249941</v>
      </c>
      <c r="I45" s="184"/>
      <c r="J45" s="184"/>
      <c r="K45" s="184"/>
      <c r="L45" s="184"/>
    </row>
    <row r="46" spans="1:12" s="161" customFormat="1" x14ac:dyDescent="0.25">
      <c r="A46" s="144"/>
      <c r="B46" s="185" t="s">
        <v>299</v>
      </c>
      <c r="C46" s="174">
        <f>+$C$41*'Puertos '!AC10</f>
        <v>834352.97108735505</v>
      </c>
      <c r="D46" s="174">
        <f>+$D$41*Concesiones!AB19</f>
        <v>2012317.5491995944</v>
      </c>
      <c r="E46" s="174">
        <f>+$E$41*Tránsito!AB13</f>
        <v>2297073.2631991082</v>
      </c>
      <c r="F46" s="186">
        <f>SUM(C46:E46)</f>
        <v>5143743.7834860571</v>
      </c>
      <c r="I46" s="184"/>
      <c r="J46" s="184"/>
      <c r="K46" s="184"/>
      <c r="L46" s="184"/>
    </row>
    <row r="47" spans="1:12" s="161" customFormat="1" x14ac:dyDescent="0.25">
      <c r="A47" s="144"/>
      <c r="B47" s="185" t="s">
        <v>300</v>
      </c>
      <c r="C47" s="174">
        <f>+$C$41*'Puertos '!AC11</f>
        <v>20881735.452833917</v>
      </c>
      <c r="D47" s="174">
        <f>+$D$41*Concesiones!AB20</f>
        <v>26911911.323561948</v>
      </c>
      <c r="E47" s="174">
        <f>+$E$41*Tránsito!AB14</f>
        <v>55657477.785868153</v>
      </c>
      <c r="F47" s="186">
        <f>SUM(C47:E47)</f>
        <v>103451124.56226403</v>
      </c>
      <c r="I47" s="184"/>
      <c r="J47" s="184"/>
      <c r="K47" s="184"/>
      <c r="L47" s="184"/>
    </row>
    <row r="48" spans="1:12" s="161" customFormat="1" ht="15.75" thickBot="1" x14ac:dyDescent="0.3">
      <c r="A48" s="144"/>
      <c r="B48" s="187" t="s">
        <v>8</v>
      </c>
      <c r="C48" s="188">
        <f t="shared" ref="C48" si="4">SUM(C45:C47)</f>
        <v>21853593.476657175</v>
      </c>
      <c r="D48" s="188">
        <f t="shared" ref="D48" si="5">SUM(D45:D47)</f>
        <v>29643723.564997487</v>
      </c>
      <c r="E48" s="188">
        <f t="shared" ref="E48" si="6">SUM(E45:E47)</f>
        <v>60755984.958345354</v>
      </c>
      <c r="F48" s="189">
        <f>SUM(F45:F47)</f>
        <v>112253302.00000003</v>
      </c>
      <c r="I48" s="184"/>
      <c r="J48" s="184"/>
      <c r="K48" s="184"/>
      <c r="L48" s="184"/>
    </row>
    <row r="49" spans="1:14" s="161" customFormat="1" ht="15.75" thickBot="1" x14ac:dyDescent="0.3">
      <c r="A49" s="144"/>
      <c r="B49" s="170"/>
      <c r="C49" s="190"/>
      <c r="D49" s="190"/>
      <c r="E49" s="190"/>
      <c r="F49" s="190"/>
      <c r="L49" s="191"/>
    </row>
    <row r="50" spans="1:14" s="161" customFormat="1" x14ac:dyDescent="0.25">
      <c r="A50" s="144"/>
      <c r="B50" s="406" t="s">
        <v>301</v>
      </c>
      <c r="C50" s="407"/>
      <c r="D50" s="407"/>
      <c r="E50" s="408"/>
      <c r="F50" s="190"/>
      <c r="I50" s="191"/>
      <c r="J50" s="191"/>
      <c r="K50" s="191"/>
      <c r="L50" s="191"/>
    </row>
    <row r="51" spans="1:14" s="161" customFormat="1" ht="30.75" thickBot="1" x14ac:dyDescent="0.3">
      <c r="A51" s="144"/>
      <c r="B51" s="178" t="s">
        <v>1</v>
      </c>
      <c r="C51" s="179" t="s">
        <v>44</v>
      </c>
      <c r="D51" s="179" t="s">
        <v>4</v>
      </c>
      <c r="E51" s="180" t="s">
        <v>5</v>
      </c>
      <c r="F51" s="190"/>
      <c r="I51" s="191"/>
      <c r="J51" s="191"/>
      <c r="K51" s="191"/>
      <c r="L51" s="191"/>
    </row>
    <row r="52" spans="1:14" s="161" customFormat="1" x14ac:dyDescent="0.25">
      <c r="A52" s="144"/>
      <c r="B52" s="181" t="s">
        <v>146</v>
      </c>
      <c r="C52" s="268">
        <f>+'Puertos '!B4</f>
        <v>3</v>
      </c>
      <c r="D52" s="268">
        <f>+Concesiones!B4</f>
        <v>4</v>
      </c>
      <c r="E52" s="269">
        <f>+Tránsito!B4</f>
        <v>80</v>
      </c>
      <c r="F52" s="190"/>
      <c r="I52" s="191"/>
      <c r="J52" s="191"/>
      <c r="K52" s="191"/>
      <c r="L52" s="191"/>
    </row>
    <row r="53" spans="1:14" s="161" customFormat="1" x14ac:dyDescent="0.25">
      <c r="A53" s="144"/>
      <c r="B53" s="185" t="s">
        <v>157</v>
      </c>
      <c r="C53" s="239">
        <f>+'Puertos '!B5</f>
        <v>16</v>
      </c>
      <c r="D53" s="239">
        <f>+Concesiones!B5</f>
        <v>91</v>
      </c>
      <c r="E53" s="270">
        <f>+Tránsito!B5</f>
        <v>337</v>
      </c>
      <c r="F53" s="190"/>
      <c r="I53" s="191"/>
      <c r="J53" s="191"/>
      <c r="K53" s="191"/>
      <c r="L53" s="191"/>
    </row>
    <row r="54" spans="1:14" s="161" customFormat="1" ht="15.75" thickBot="1" x14ac:dyDescent="0.3">
      <c r="A54" s="144"/>
      <c r="B54" s="240" t="s">
        <v>302</v>
      </c>
      <c r="C54" s="271">
        <f>+'Puertos '!B6</f>
        <v>652</v>
      </c>
      <c r="D54" s="271">
        <f>+Concesiones!B6</f>
        <v>134</v>
      </c>
      <c r="E54" s="272">
        <f>+Tránsito!B6</f>
        <v>7260</v>
      </c>
      <c r="F54" s="190"/>
      <c r="G54" s="192"/>
      <c r="H54" s="172"/>
      <c r="I54" s="192"/>
      <c r="L54" s="191"/>
      <c r="M54" s="191"/>
      <c r="N54" s="191"/>
    </row>
    <row r="55" spans="1:14" s="161" customFormat="1" ht="15.75" thickBot="1" x14ac:dyDescent="0.3">
      <c r="A55" s="144"/>
      <c r="C55" s="191"/>
      <c r="D55" s="191"/>
      <c r="E55" s="191"/>
      <c r="F55" s="190"/>
      <c r="G55" s="192"/>
      <c r="H55" s="172"/>
      <c r="I55" s="192"/>
      <c r="L55" s="191"/>
      <c r="M55" s="191"/>
      <c r="N55" s="191"/>
    </row>
    <row r="56" spans="1:14" s="161" customFormat="1" ht="15.75" customHeight="1" x14ac:dyDescent="0.25">
      <c r="A56" s="144"/>
      <c r="B56" s="406" t="s">
        <v>303</v>
      </c>
      <c r="C56" s="407"/>
      <c r="D56" s="407"/>
      <c r="E56" s="408"/>
      <c r="F56" s="190"/>
      <c r="G56" s="192"/>
      <c r="H56" s="172"/>
    </row>
    <row r="57" spans="1:14" s="161" customFormat="1" ht="30.75" thickBot="1" x14ac:dyDescent="0.3">
      <c r="A57" s="144"/>
      <c r="B57" s="178" t="s">
        <v>1</v>
      </c>
      <c r="C57" s="179" t="s">
        <v>44</v>
      </c>
      <c r="D57" s="179" t="s">
        <v>4</v>
      </c>
      <c r="E57" s="180" t="s">
        <v>5</v>
      </c>
      <c r="G57" s="144"/>
      <c r="H57" s="144"/>
    </row>
    <row r="58" spans="1:14" s="161" customFormat="1" x14ac:dyDescent="0.25">
      <c r="A58" s="144"/>
      <c r="B58" s="181" t="s">
        <v>298</v>
      </c>
      <c r="C58" s="193">
        <f>+C45/C52</f>
        <v>45835.017578634113</v>
      </c>
      <c r="D58" s="193">
        <f t="shared" ref="D58:E59" si="7">+D45/D52</f>
        <v>179873.67305898646</v>
      </c>
      <c r="E58" s="193">
        <f t="shared" si="7"/>
        <v>35017.923865976161</v>
      </c>
      <c r="G58" s="144"/>
      <c r="H58" s="144"/>
      <c r="I58" s="184"/>
      <c r="J58" s="184"/>
      <c r="K58" s="184"/>
    </row>
    <row r="59" spans="1:14" s="161" customFormat="1" x14ac:dyDescent="0.25">
      <c r="A59" s="144"/>
      <c r="B59" s="185" t="s">
        <v>299</v>
      </c>
      <c r="C59" s="193">
        <f>+C46/C53</f>
        <v>52147.060692959691</v>
      </c>
      <c r="D59" s="193">
        <f t="shared" si="7"/>
        <v>22113.379661534003</v>
      </c>
      <c r="E59" s="193">
        <f t="shared" si="7"/>
        <v>6816.2411370893415</v>
      </c>
      <c r="G59" s="144"/>
      <c r="H59" s="144"/>
      <c r="I59" s="184"/>
      <c r="J59" s="184"/>
      <c r="K59" s="184"/>
    </row>
    <row r="60" spans="1:14" s="161" customFormat="1" ht="15.75" thickBot="1" x14ac:dyDescent="0.3">
      <c r="A60" s="144"/>
      <c r="B60" s="187" t="s">
        <v>8</v>
      </c>
      <c r="C60" s="194">
        <f>C59+C58</f>
        <v>97982.078271593811</v>
      </c>
      <c r="D60" s="194">
        <f t="shared" ref="D60:E60" si="8">D59+D58</f>
        <v>201987.05272052047</v>
      </c>
      <c r="E60" s="194">
        <f t="shared" si="8"/>
        <v>41834.1650030655</v>
      </c>
      <c r="G60" s="144"/>
      <c r="H60" s="144"/>
      <c r="I60" s="184"/>
      <c r="J60" s="184"/>
      <c r="K60" s="184"/>
    </row>
    <row r="61" spans="1:14" s="161" customFormat="1" x14ac:dyDescent="0.25">
      <c r="A61" s="144"/>
      <c r="B61" s="195"/>
      <c r="C61" s="192"/>
      <c r="D61" s="192"/>
      <c r="E61" s="192"/>
      <c r="G61" s="144"/>
      <c r="H61" s="144"/>
    </row>
    <row r="62" spans="1:14" s="161" customFormat="1" ht="15.75" thickBot="1" x14ac:dyDescent="0.3">
      <c r="A62" s="144"/>
      <c r="B62" s="170"/>
      <c r="C62" s="192"/>
      <c r="D62" s="192"/>
      <c r="E62" s="192"/>
      <c r="F62" s="172"/>
      <c r="I62" s="144"/>
      <c r="J62" s="144"/>
    </row>
    <row r="63" spans="1:14" s="161" customFormat="1" ht="15" customHeight="1" x14ac:dyDescent="0.25">
      <c r="A63" s="144"/>
      <c r="B63" s="406" t="s">
        <v>304</v>
      </c>
      <c r="C63" s="407"/>
      <c r="D63" s="407"/>
      <c r="E63" s="408"/>
      <c r="F63" s="167"/>
      <c r="G63" s="167"/>
      <c r="H63" s="144"/>
      <c r="I63" s="144"/>
      <c r="J63" s="144"/>
      <c r="K63" s="144"/>
      <c r="L63" s="144"/>
    </row>
    <row r="64" spans="1:14" s="161" customFormat="1" ht="30.75" thickBot="1" x14ac:dyDescent="0.3">
      <c r="A64" s="144"/>
      <c r="B64" s="178" t="s">
        <v>1</v>
      </c>
      <c r="C64" s="179" t="s">
        <v>44</v>
      </c>
      <c r="D64" s="179" t="s">
        <v>4</v>
      </c>
      <c r="E64" s="180" t="s">
        <v>5</v>
      </c>
      <c r="G64" s="144"/>
      <c r="H64" s="144"/>
    </row>
    <row r="65" spans="1:12" s="161" customFormat="1" x14ac:dyDescent="0.25">
      <c r="A65" s="144"/>
      <c r="B65" s="181" t="s">
        <v>298</v>
      </c>
      <c r="C65" s="196">
        <f>(C58/$C$60)</f>
        <v>0.4677898079645269</v>
      </c>
      <c r="D65" s="196">
        <f>(D58/$D$60)</f>
        <v>0.89052080634033903</v>
      </c>
      <c r="E65" s="197">
        <f>(E58/$E$60)</f>
        <v>0.83706520408403362</v>
      </c>
      <c r="G65" s="144"/>
      <c r="H65" s="144"/>
    </row>
    <row r="66" spans="1:12" s="161" customFormat="1" x14ac:dyDescent="0.25">
      <c r="A66" s="144"/>
      <c r="B66" s="185" t="s">
        <v>299</v>
      </c>
      <c r="C66" s="196">
        <f>(C59/$C$60)</f>
        <v>0.53221019203547304</v>
      </c>
      <c r="D66" s="196">
        <f>(D59/$D$60)</f>
        <v>0.10947919365966094</v>
      </c>
      <c r="E66" s="197">
        <f>(E59/$E$60)</f>
        <v>0.16293479591596641</v>
      </c>
      <c r="G66" s="144"/>
      <c r="H66" s="144"/>
    </row>
    <row r="67" spans="1:12" s="161" customFormat="1" ht="15.75" thickBot="1" x14ac:dyDescent="0.3">
      <c r="A67" s="144"/>
      <c r="B67" s="187" t="s">
        <v>8</v>
      </c>
      <c r="C67" s="198">
        <f>C66+C65</f>
        <v>1</v>
      </c>
      <c r="D67" s="198">
        <f>D66+D65</f>
        <v>1</v>
      </c>
      <c r="E67" s="199">
        <f>E66+E65</f>
        <v>1</v>
      </c>
      <c r="G67" s="144"/>
      <c r="H67" s="144"/>
    </row>
    <row r="68" spans="1:12" s="161" customFormat="1" ht="15.75" thickBot="1" x14ac:dyDescent="0.3">
      <c r="A68" s="144"/>
      <c r="B68" s="166"/>
      <c r="C68" s="167"/>
      <c r="D68" s="167"/>
      <c r="E68" s="167"/>
      <c r="F68" s="167"/>
      <c r="G68" s="167"/>
      <c r="H68" s="144"/>
      <c r="I68" s="144"/>
      <c r="J68" s="144"/>
      <c r="K68" s="144"/>
      <c r="L68" s="144"/>
    </row>
    <row r="69" spans="1:12" s="161" customFormat="1" ht="15" customHeight="1" x14ac:dyDescent="0.25">
      <c r="A69" s="144"/>
      <c r="B69" s="406" t="s">
        <v>305</v>
      </c>
      <c r="C69" s="407"/>
      <c r="D69" s="407"/>
      <c r="E69" s="407"/>
      <c r="F69" s="407"/>
      <c r="G69" s="407"/>
      <c r="H69" s="408"/>
      <c r="I69" s="144"/>
      <c r="J69" s="144"/>
      <c r="K69" s="144"/>
      <c r="L69" s="144"/>
    </row>
    <row r="70" spans="1:12" s="161" customFormat="1" ht="41.1" customHeight="1" thickBot="1" x14ac:dyDescent="0.3">
      <c r="A70" s="144"/>
      <c r="B70" s="178" t="s">
        <v>1</v>
      </c>
      <c r="C70" s="179" t="s">
        <v>44</v>
      </c>
      <c r="D70" s="179" t="s">
        <v>4</v>
      </c>
      <c r="E70" s="180" t="s">
        <v>5</v>
      </c>
      <c r="F70" s="179" t="s">
        <v>306</v>
      </c>
      <c r="G70" s="179" t="s">
        <v>307</v>
      </c>
      <c r="H70" s="180" t="s">
        <v>308</v>
      </c>
      <c r="J70" s="144"/>
      <c r="K70" s="144"/>
    </row>
    <row r="71" spans="1:12" s="161" customFormat="1" x14ac:dyDescent="0.25">
      <c r="A71" s="144"/>
      <c r="B71" s="181" t="s">
        <v>298</v>
      </c>
      <c r="C71" s="200">
        <f>+C45+($C$47*C65)</f>
        <v>9905768.0701831337</v>
      </c>
      <c r="D71" s="201">
        <f>+D45+($D$47*D65)</f>
        <v>24685111.664254032</v>
      </c>
      <c r="E71" s="200">
        <f>+E45+($E$47*E65)</f>
        <v>49390371.910908386</v>
      </c>
      <c r="F71" s="193">
        <f>SUM(C71:E71)</f>
        <v>83981251.645345554</v>
      </c>
      <c r="G71" s="196">
        <f>+F71/F73</f>
        <v>0.74814059051327986</v>
      </c>
      <c r="H71" s="202" t="s">
        <v>309</v>
      </c>
      <c r="J71" s="144"/>
      <c r="K71" s="144"/>
    </row>
    <row r="72" spans="1:12" s="161" customFormat="1" x14ac:dyDescent="0.25">
      <c r="A72" s="144"/>
      <c r="B72" s="185" t="s">
        <v>299</v>
      </c>
      <c r="C72" s="200">
        <f>+C46+($C$47*C66)</f>
        <v>11947825.406474039</v>
      </c>
      <c r="D72" s="201">
        <f>+D46+($D$47*D66)</f>
        <v>4958611.9007434547</v>
      </c>
      <c r="E72" s="200">
        <f>+E46+($E$47*E66)</f>
        <v>11365613.047436969</v>
      </c>
      <c r="F72" s="193">
        <f>SUM(C72:E72)</f>
        <v>28272050.354654461</v>
      </c>
      <c r="G72" s="203">
        <f>+F72/F73</f>
        <v>0.25185940948672009</v>
      </c>
      <c r="H72" s="204" t="s">
        <v>310</v>
      </c>
      <c r="J72" s="144"/>
      <c r="K72" s="144"/>
    </row>
    <row r="73" spans="1:12" s="161" customFormat="1" ht="15.75" thickBot="1" x14ac:dyDescent="0.3">
      <c r="A73" s="144"/>
      <c r="B73" s="187" t="s">
        <v>8</v>
      </c>
      <c r="C73" s="194">
        <f>C72+C71</f>
        <v>21853593.476657175</v>
      </c>
      <c r="D73" s="194">
        <f>D72+D71</f>
        <v>29643723.564997487</v>
      </c>
      <c r="E73" s="194">
        <f>E72+E71</f>
        <v>60755984.958345354</v>
      </c>
      <c r="F73" s="194">
        <f>F72+F71</f>
        <v>112253302.00000001</v>
      </c>
      <c r="G73" s="205">
        <f>SUM(G71:G72)</f>
        <v>1</v>
      </c>
      <c r="H73" s="206"/>
      <c r="J73" s="144"/>
      <c r="K73" s="144"/>
    </row>
    <row r="74" spans="1:12" s="161" customFormat="1" x14ac:dyDescent="0.25">
      <c r="A74" s="144"/>
      <c r="B74" s="166"/>
      <c r="C74" s="167"/>
      <c r="D74" s="167"/>
      <c r="E74" s="167"/>
      <c r="F74" s="167"/>
      <c r="G74" s="167"/>
      <c r="H74" s="144"/>
      <c r="I74" s="144"/>
      <c r="J74" s="144"/>
      <c r="K74" s="144"/>
      <c r="L74" s="144"/>
    </row>
    <row r="75" spans="1:12" s="161" customFormat="1" x14ac:dyDescent="0.25">
      <c r="A75" s="144"/>
      <c r="B75" s="144"/>
      <c r="C75" s="144"/>
      <c r="D75" s="144"/>
      <c r="H75" s="207"/>
      <c r="I75" s="177"/>
      <c r="J75" s="208"/>
      <c r="K75" s="208"/>
      <c r="L75" s="209"/>
    </row>
    <row r="76" spans="1:12" s="161" customFormat="1" ht="16.350000000000001" customHeight="1" x14ac:dyDescent="0.25">
      <c r="B76" s="415" t="s">
        <v>311</v>
      </c>
      <c r="C76" s="415"/>
      <c r="D76" s="415"/>
      <c r="K76" s="210"/>
      <c r="L76" s="208"/>
    </row>
    <row r="77" spans="1:12" s="161" customFormat="1" ht="15.75" thickBot="1" x14ac:dyDescent="0.3">
      <c r="B77" s="144"/>
      <c r="C77" s="144"/>
      <c r="D77" s="144"/>
    </row>
    <row r="78" spans="1:12" s="161" customFormat="1" ht="16.5" customHeight="1" x14ac:dyDescent="0.25">
      <c r="B78" s="416" t="s">
        <v>312</v>
      </c>
      <c r="C78" s="417"/>
      <c r="D78" s="260" t="s">
        <v>313</v>
      </c>
      <c r="E78" s="260" t="s">
        <v>314</v>
      </c>
    </row>
    <row r="79" spans="1:12" s="161" customFormat="1" ht="15.75" customHeight="1" x14ac:dyDescent="0.25">
      <c r="B79" s="409" t="s">
        <v>315</v>
      </c>
      <c r="C79" s="410"/>
      <c r="D79" s="299">
        <v>71634302477</v>
      </c>
      <c r="E79" s="299">
        <f>+D79+D80</f>
        <v>112253302477</v>
      </c>
    </row>
    <row r="80" spans="1:12" s="161" customFormat="1" ht="15.75" x14ac:dyDescent="0.25">
      <c r="B80" s="409" t="s">
        <v>316</v>
      </c>
      <c r="C80" s="410"/>
      <c r="D80" s="299">
        <v>40619000000</v>
      </c>
      <c r="L80" s="191"/>
    </row>
    <row r="81" spans="2:27" s="161" customFormat="1" ht="16.5" customHeight="1" thickBot="1" x14ac:dyDescent="0.3">
      <c r="B81" s="413" t="s">
        <v>317</v>
      </c>
      <c r="C81" s="414"/>
      <c r="D81" s="299">
        <v>21909810252</v>
      </c>
      <c r="F81" s="211"/>
      <c r="L81" s="191"/>
    </row>
    <row r="82" spans="2:27" s="161" customFormat="1" x14ac:dyDescent="0.25">
      <c r="B82" s="144"/>
      <c r="C82" s="144"/>
      <c r="D82" s="144"/>
      <c r="E82" s="292"/>
    </row>
    <row r="83" spans="2:27" s="161" customFormat="1" ht="15.75" thickBot="1" x14ac:dyDescent="0.3">
      <c r="B83" s="144"/>
      <c r="C83" s="144"/>
      <c r="D83" s="144"/>
    </row>
    <row r="84" spans="2:27" s="161" customFormat="1" ht="29.1" customHeight="1" x14ac:dyDescent="0.25">
      <c r="B84" s="411" t="s">
        <v>318</v>
      </c>
      <c r="C84" s="412"/>
    </row>
    <row r="85" spans="2:27" ht="15.75" customHeight="1" x14ac:dyDescent="0.25">
      <c r="B85" s="212" t="s">
        <v>123</v>
      </c>
      <c r="C85" s="289">
        <v>75753756961794</v>
      </c>
      <c r="D85" s="184"/>
      <c r="E85" s="184"/>
      <c r="F85" s="184"/>
      <c r="G85" s="213"/>
      <c r="L85" s="161"/>
      <c r="M85" s="161"/>
      <c r="N85" s="161"/>
      <c r="O85" s="161"/>
      <c r="P85" s="161"/>
      <c r="Q85" s="161"/>
      <c r="R85" s="161"/>
      <c r="S85" s="161"/>
      <c r="T85" s="144"/>
      <c r="U85" s="144"/>
      <c r="V85" s="144"/>
      <c r="W85" s="144"/>
      <c r="X85" s="144"/>
      <c r="Y85" s="144"/>
      <c r="Z85" s="144"/>
      <c r="AA85" s="144"/>
    </row>
    <row r="86" spans="2:27" ht="15.75" customHeight="1" x14ac:dyDescent="0.25">
      <c r="B86" s="212" t="s">
        <v>121</v>
      </c>
      <c r="C86" s="289">
        <v>1686865083953</v>
      </c>
      <c r="D86" s="184"/>
      <c r="E86" s="184"/>
      <c r="F86" s="184"/>
      <c r="G86" s="213"/>
      <c r="L86" s="161"/>
      <c r="M86" s="161"/>
      <c r="N86" s="161"/>
      <c r="O86" s="161"/>
      <c r="P86" s="161"/>
      <c r="Q86" s="161"/>
      <c r="R86" s="161"/>
      <c r="S86" s="161"/>
      <c r="T86" s="144"/>
      <c r="U86" s="144"/>
      <c r="V86" s="144"/>
      <c r="W86" s="144"/>
      <c r="X86" s="144"/>
      <c r="Y86" s="144"/>
      <c r="Z86" s="144"/>
      <c r="AA86" s="144"/>
    </row>
    <row r="87" spans="2:27" ht="16.5" customHeight="1" x14ac:dyDescent="0.25">
      <c r="B87" s="212" t="s">
        <v>122</v>
      </c>
      <c r="C87" s="289">
        <v>40135104373073</v>
      </c>
      <c r="D87" s="184"/>
      <c r="E87" s="184"/>
      <c r="F87" s="184"/>
      <c r="G87" s="213"/>
      <c r="L87" s="161"/>
      <c r="M87" s="161"/>
      <c r="N87" s="161"/>
      <c r="O87" s="161"/>
      <c r="P87" s="161"/>
      <c r="Q87" s="161"/>
      <c r="R87" s="161"/>
      <c r="S87" s="161"/>
      <c r="T87" s="144"/>
      <c r="U87" s="144"/>
      <c r="V87" s="144"/>
      <c r="W87" s="144"/>
      <c r="X87" s="144"/>
      <c r="Y87" s="144"/>
      <c r="Z87" s="144"/>
      <c r="AA87" s="144"/>
    </row>
    <row r="88" spans="2:27" ht="16.5" customHeight="1" thickBot="1" x14ac:dyDescent="0.3">
      <c r="B88" s="214"/>
      <c r="C88" s="331">
        <f>SUM(C85:C87)</f>
        <v>117575726418820</v>
      </c>
      <c r="F88" s="184"/>
      <c r="G88" s="213"/>
      <c r="J88" s="215"/>
      <c r="L88" s="161"/>
      <c r="M88" s="161"/>
      <c r="N88" s="161"/>
      <c r="O88" s="161"/>
      <c r="P88" s="161"/>
      <c r="Q88" s="161"/>
      <c r="R88" s="161"/>
      <c r="S88" s="161"/>
      <c r="T88" s="144"/>
      <c r="U88" s="144"/>
      <c r="V88" s="144"/>
      <c r="W88" s="144"/>
      <c r="X88" s="144"/>
      <c r="Y88" s="144"/>
      <c r="Z88" s="144"/>
      <c r="AA88" s="144"/>
    </row>
    <row r="89" spans="2:27" x14ac:dyDescent="0.25">
      <c r="D89" s="216"/>
      <c r="M89" s="161"/>
      <c r="N89" s="161"/>
      <c r="O89" s="161"/>
      <c r="P89" s="161"/>
      <c r="Q89" s="161"/>
      <c r="R89" s="161"/>
      <c r="S89" s="161"/>
      <c r="U89" s="144"/>
      <c r="V89" s="144"/>
      <c r="W89" s="144"/>
      <c r="X89" s="144"/>
      <c r="Y89" s="144"/>
      <c r="Z89" s="144"/>
      <c r="AA89" s="144"/>
    </row>
    <row r="90" spans="2:27" ht="15.75" thickBot="1" x14ac:dyDescent="0.3">
      <c r="M90" s="161"/>
      <c r="N90" s="161"/>
      <c r="O90" s="161"/>
      <c r="P90" s="161"/>
      <c r="Q90" s="161"/>
      <c r="R90" s="161"/>
      <c r="S90" s="161"/>
      <c r="U90" s="144"/>
      <c r="V90" s="144"/>
      <c r="W90" s="144"/>
      <c r="X90" s="144"/>
      <c r="Y90" s="144"/>
      <c r="Z90" s="144"/>
      <c r="AA90" s="144"/>
    </row>
    <row r="91" spans="2:27" x14ac:dyDescent="0.25">
      <c r="B91" s="146" t="s">
        <v>309</v>
      </c>
      <c r="C91" s="290">
        <f>+G71</f>
        <v>0.74814059051327986</v>
      </c>
      <c r="G91" s="213"/>
      <c r="M91" s="161"/>
      <c r="N91" s="161"/>
      <c r="O91" s="161"/>
      <c r="P91" s="161"/>
      <c r="Q91" s="161"/>
      <c r="R91" s="161"/>
      <c r="S91" s="161"/>
      <c r="U91" s="144"/>
      <c r="V91" s="144"/>
      <c r="W91" s="144"/>
      <c r="X91" s="144"/>
      <c r="Y91" s="144"/>
      <c r="Z91" s="144"/>
      <c r="AA91" s="144"/>
    </row>
    <row r="92" spans="2:27" ht="15.75" thickBot="1" x14ac:dyDescent="0.3">
      <c r="B92" s="214" t="s">
        <v>310</v>
      </c>
      <c r="C92" s="291">
        <f>+G72</f>
        <v>0.25185940948672009</v>
      </c>
      <c r="G92" s="213"/>
      <c r="M92" s="161"/>
      <c r="N92" s="161"/>
      <c r="O92" s="161"/>
      <c r="P92" s="161"/>
      <c r="Q92" s="161"/>
      <c r="R92" s="161"/>
      <c r="S92" s="161"/>
      <c r="U92" s="144"/>
      <c r="V92" s="144"/>
      <c r="W92" s="144"/>
      <c r="X92" s="144"/>
      <c r="Y92" s="144"/>
      <c r="Z92" s="144"/>
      <c r="AA92" s="144"/>
    </row>
    <row r="93" spans="2:27" ht="15" customHeight="1" thickBot="1" x14ac:dyDescent="0.3">
      <c r="M93" s="161"/>
      <c r="N93" s="161"/>
      <c r="O93" s="161"/>
      <c r="P93" s="161"/>
      <c r="Q93" s="161"/>
      <c r="R93" s="161"/>
      <c r="S93" s="161"/>
      <c r="U93" s="144"/>
      <c r="V93" s="144"/>
      <c r="W93" s="144"/>
      <c r="X93" s="144"/>
      <c r="Y93" s="144"/>
      <c r="Z93" s="144"/>
      <c r="AA93" s="144"/>
    </row>
    <row r="94" spans="2:27" x14ac:dyDescent="0.25">
      <c r="B94" s="217"/>
      <c r="C94" s="218"/>
      <c r="D94" s="219"/>
      <c r="M94" s="161"/>
      <c r="N94" s="161"/>
      <c r="O94" s="161"/>
      <c r="P94" s="161"/>
      <c r="Q94" s="161"/>
      <c r="R94" s="161"/>
      <c r="S94" s="161"/>
      <c r="U94" s="144"/>
      <c r="V94" s="144"/>
      <c r="W94" s="144"/>
      <c r="X94" s="144"/>
      <c r="Y94" s="144"/>
      <c r="Z94" s="144"/>
      <c r="AA94" s="144"/>
    </row>
    <row r="95" spans="2:27" x14ac:dyDescent="0.25">
      <c r="B95" s="220"/>
      <c r="C95" s="221">
        <f>D79+D80-D81</f>
        <v>90343492225</v>
      </c>
      <c r="D95" s="222">
        <f>C95/C96</f>
        <v>1.0369509314044915E-3</v>
      </c>
      <c r="G95" s="223"/>
      <c r="H95" s="184"/>
      <c r="J95" s="208"/>
      <c r="K95" s="223"/>
      <c r="L95" s="224"/>
      <c r="M95" s="161"/>
      <c r="N95" s="161"/>
      <c r="O95" s="161"/>
      <c r="P95" s="161"/>
      <c r="Q95" s="161"/>
      <c r="R95" s="161"/>
      <c r="S95" s="161"/>
      <c r="U95" s="144"/>
      <c r="V95" s="144"/>
      <c r="W95" s="144"/>
      <c r="X95" s="144"/>
      <c r="Y95" s="144"/>
      <c r="Z95" s="144"/>
      <c r="AA95" s="144"/>
    </row>
    <row r="96" spans="2:27" x14ac:dyDescent="0.25">
      <c r="B96" s="220"/>
      <c r="C96" s="225">
        <f>+C85+C86*C91+C87*C92</f>
        <v>87124172888908.875</v>
      </c>
      <c r="D96" s="226"/>
      <c r="G96" s="223"/>
      <c r="K96" s="227"/>
      <c r="M96" s="161"/>
      <c r="N96" s="161"/>
      <c r="O96" s="161"/>
      <c r="P96" s="161"/>
      <c r="Q96" s="161"/>
      <c r="R96" s="161"/>
      <c r="S96" s="161"/>
      <c r="U96" s="144"/>
      <c r="V96" s="144"/>
      <c r="W96" s="144"/>
      <c r="X96" s="144"/>
      <c r="Y96" s="144"/>
      <c r="Z96" s="144"/>
      <c r="AA96" s="144"/>
    </row>
    <row r="97" spans="2:27" ht="15.75" thickBot="1" x14ac:dyDescent="0.3">
      <c r="B97" s="228"/>
      <c r="C97" s="229"/>
      <c r="D97" s="230"/>
      <c r="M97" s="161"/>
      <c r="N97" s="161"/>
      <c r="O97" s="161"/>
      <c r="P97" s="161"/>
      <c r="Q97" s="161"/>
      <c r="R97" s="161"/>
      <c r="S97" s="161"/>
      <c r="U97" s="144"/>
      <c r="V97" s="144"/>
      <c r="W97" s="144"/>
      <c r="X97" s="144"/>
      <c r="Y97" s="144"/>
      <c r="Z97" s="144"/>
      <c r="AA97" s="144"/>
    </row>
    <row r="98" spans="2:27" ht="15.75" thickBot="1" x14ac:dyDescent="0.3">
      <c r="M98" s="161"/>
      <c r="N98" s="161"/>
      <c r="O98" s="161"/>
      <c r="P98" s="161"/>
      <c r="Q98" s="161"/>
      <c r="R98" s="161"/>
      <c r="S98" s="161"/>
      <c r="U98" s="144"/>
      <c r="V98" s="144"/>
      <c r="W98" s="144"/>
      <c r="X98" s="144"/>
      <c r="Y98" s="144"/>
      <c r="Z98" s="144"/>
      <c r="AA98" s="144"/>
    </row>
    <row r="99" spans="2:27" x14ac:dyDescent="0.25">
      <c r="C99" s="217"/>
      <c r="D99" s="231">
        <f>+D95</f>
        <v>1.0369509314044915E-3</v>
      </c>
      <c r="H99" s="224"/>
      <c r="M99" s="161"/>
      <c r="N99" s="161"/>
      <c r="O99" s="161"/>
      <c r="P99" s="161"/>
      <c r="Q99" s="161"/>
      <c r="R99" s="161"/>
      <c r="S99" s="161"/>
      <c r="U99" s="144"/>
      <c r="V99" s="144"/>
      <c r="W99" s="144"/>
      <c r="X99" s="144"/>
      <c r="Y99" s="144"/>
      <c r="Z99" s="144"/>
      <c r="AA99" s="144"/>
    </row>
    <row r="100" spans="2:27" x14ac:dyDescent="0.25">
      <c r="C100" s="220"/>
      <c r="D100" s="232">
        <f>D95*C92</f>
        <v>2.6116584925023963E-4</v>
      </c>
      <c r="F100" s="223"/>
      <c r="G100" s="223"/>
      <c r="H100" s="224"/>
      <c r="M100" s="161"/>
      <c r="N100" s="161"/>
      <c r="O100" s="161"/>
      <c r="P100" s="161"/>
      <c r="Q100" s="161"/>
      <c r="R100" s="161"/>
      <c r="S100" s="161"/>
      <c r="U100" s="144"/>
      <c r="V100" s="144"/>
      <c r="W100" s="144"/>
      <c r="X100" s="144"/>
      <c r="Y100" s="144"/>
      <c r="Z100" s="144"/>
      <c r="AA100" s="144"/>
    </row>
    <row r="101" spans="2:27" ht="15.75" thickBot="1" x14ac:dyDescent="0.3">
      <c r="C101" s="228"/>
      <c r="D101" s="233">
        <f>D95*C91</f>
        <v>7.757850821542518E-4</v>
      </c>
      <c r="H101" s="224"/>
      <c r="M101" s="161"/>
      <c r="N101" s="161"/>
      <c r="O101" s="161"/>
      <c r="P101" s="161"/>
      <c r="Q101" s="161"/>
      <c r="R101" s="161"/>
      <c r="S101" s="161"/>
      <c r="U101" s="144"/>
      <c r="V101" s="144"/>
      <c r="W101" s="144"/>
      <c r="X101" s="144"/>
      <c r="Y101" s="144"/>
      <c r="Z101" s="144"/>
      <c r="AA101" s="144"/>
    </row>
    <row r="102" spans="2:27" x14ac:dyDescent="0.25">
      <c r="M102" s="161"/>
      <c r="N102" s="161"/>
      <c r="O102" s="161"/>
      <c r="P102" s="161"/>
      <c r="Q102" s="161"/>
      <c r="R102" s="161"/>
      <c r="S102" s="161"/>
      <c r="U102" s="144"/>
      <c r="V102" s="144"/>
      <c r="W102" s="144"/>
      <c r="X102" s="144"/>
      <c r="Y102" s="144"/>
      <c r="Z102" s="144"/>
      <c r="AA102" s="144"/>
    </row>
    <row r="103" spans="2:27" x14ac:dyDescent="0.25">
      <c r="M103" s="161"/>
      <c r="N103" s="161"/>
      <c r="O103" s="161"/>
      <c r="P103" s="161"/>
      <c r="Q103" s="161"/>
      <c r="R103" s="161"/>
      <c r="S103" s="161"/>
      <c r="U103" s="144"/>
      <c r="V103" s="144"/>
      <c r="W103" s="144"/>
      <c r="X103" s="144"/>
      <c r="Y103" s="144"/>
      <c r="Z103" s="144"/>
      <c r="AA103" s="144"/>
    </row>
    <row r="104" spans="2:27" x14ac:dyDescent="0.25">
      <c r="M104" s="161"/>
      <c r="N104" s="161"/>
      <c r="O104" s="161"/>
      <c r="P104" s="161"/>
      <c r="Q104" s="161"/>
      <c r="R104" s="161"/>
      <c r="S104" s="161"/>
      <c r="U104" s="144"/>
      <c r="V104" s="144"/>
      <c r="W104" s="144"/>
      <c r="X104" s="144"/>
      <c r="Y104" s="144"/>
      <c r="Z104" s="144"/>
      <c r="AA104" s="144"/>
    </row>
    <row r="105" spans="2:27" x14ac:dyDescent="0.25">
      <c r="B105" s="234" t="s">
        <v>319</v>
      </c>
      <c r="C105" s="235">
        <f>+D100*C87</f>
        <v>10481918618.340616</v>
      </c>
      <c r="M105" s="161"/>
      <c r="N105" s="161"/>
      <c r="O105" s="161"/>
      <c r="P105" s="161"/>
      <c r="Q105" s="161"/>
      <c r="R105" s="161"/>
      <c r="S105" s="161"/>
      <c r="U105" s="144"/>
      <c r="V105" s="144"/>
      <c r="W105" s="144"/>
      <c r="X105" s="144"/>
      <c r="Y105" s="144"/>
      <c r="Z105" s="144"/>
      <c r="AA105" s="144"/>
    </row>
    <row r="106" spans="2:27" x14ac:dyDescent="0.25">
      <c r="B106" s="234" t="s">
        <v>320</v>
      </c>
      <c r="C106" s="235">
        <f>+D101*C86</f>
        <v>1308644767.737617</v>
      </c>
      <c r="E106" s="236"/>
      <c r="M106" s="161"/>
      <c r="N106" s="161"/>
      <c r="O106" s="161"/>
      <c r="P106" s="161"/>
      <c r="Q106" s="161"/>
      <c r="R106" s="161"/>
      <c r="S106" s="161"/>
      <c r="U106" s="144"/>
      <c r="V106" s="144"/>
      <c r="W106" s="144"/>
      <c r="X106" s="144"/>
      <c r="Y106" s="144"/>
      <c r="Z106" s="144"/>
      <c r="AA106" s="144"/>
    </row>
    <row r="107" spans="2:27" x14ac:dyDescent="0.25">
      <c r="B107" s="234" t="s">
        <v>321</v>
      </c>
      <c r="C107" s="235">
        <f>D99*C85</f>
        <v>78552928838.921768</v>
      </c>
      <c r="E107" s="236"/>
      <c r="M107" s="161"/>
      <c r="N107" s="161"/>
      <c r="O107" s="161"/>
      <c r="P107" s="161"/>
      <c r="Q107" s="161"/>
      <c r="R107" s="161"/>
      <c r="S107" s="161"/>
      <c r="U107" s="144"/>
      <c r="V107" s="144"/>
      <c r="W107" s="144"/>
      <c r="X107" s="144"/>
      <c r="Y107" s="144"/>
      <c r="Z107" s="144"/>
      <c r="AA107" s="144"/>
    </row>
    <row r="108" spans="2:27" x14ac:dyDescent="0.25">
      <c r="B108" s="234" t="s">
        <v>322</v>
      </c>
      <c r="C108" s="237">
        <f>SUM(C105:C107)</f>
        <v>90343492225</v>
      </c>
      <c r="M108" s="161"/>
      <c r="N108" s="161"/>
      <c r="O108" s="161"/>
      <c r="P108" s="161"/>
      <c r="Q108" s="161"/>
      <c r="R108" s="161"/>
      <c r="S108" s="161"/>
      <c r="U108" s="144"/>
      <c r="V108" s="144"/>
      <c r="W108" s="144"/>
      <c r="X108" s="144"/>
      <c r="Y108" s="144"/>
      <c r="Z108" s="144"/>
      <c r="AA108" s="144"/>
    </row>
    <row r="109" spans="2:27" x14ac:dyDescent="0.25">
      <c r="M109" s="161"/>
      <c r="N109" s="161"/>
      <c r="O109" s="161"/>
      <c r="P109" s="161"/>
      <c r="Q109" s="161"/>
      <c r="R109" s="161"/>
      <c r="S109" s="161"/>
      <c r="U109" s="144"/>
      <c r="V109" s="144"/>
      <c r="W109" s="144"/>
      <c r="X109" s="144"/>
      <c r="Y109" s="144"/>
      <c r="Z109" s="144"/>
      <c r="AA109" s="144"/>
    </row>
    <row r="110" spans="2:27" x14ac:dyDescent="0.25">
      <c r="M110" s="161"/>
      <c r="N110" s="161"/>
      <c r="O110" s="161"/>
      <c r="P110" s="161"/>
      <c r="Q110" s="161"/>
      <c r="R110" s="161"/>
      <c r="S110" s="161"/>
      <c r="U110" s="144"/>
      <c r="V110" s="144"/>
      <c r="W110" s="144"/>
      <c r="X110" s="144"/>
      <c r="Y110" s="144"/>
      <c r="Z110" s="144"/>
      <c r="AA110" s="144"/>
    </row>
    <row r="111" spans="2:27" x14ac:dyDescent="0.25">
      <c r="D111" s="161"/>
      <c r="M111" s="161"/>
      <c r="N111" s="161"/>
      <c r="O111" s="161"/>
      <c r="P111" s="161"/>
      <c r="Q111" s="161"/>
      <c r="R111" s="161"/>
      <c r="S111" s="161"/>
      <c r="U111" s="144"/>
      <c r="V111" s="144"/>
      <c r="W111" s="144"/>
      <c r="X111" s="144"/>
      <c r="Y111" s="144"/>
      <c r="Z111" s="144"/>
      <c r="AA111" s="144"/>
    </row>
    <row r="112" spans="2:27" x14ac:dyDescent="0.25">
      <c r="D112" s="213"/>
      <c r="L112" s="161"/>
      <c r="M112" s="161"/>
      <c r="N112" s="161"/>
      <c r="O112" s="161"/>
      <c r="P112" s="161"/>
      <c r="Q112" s="161"/>
      <c r="R112" s="161"/>
      <c r="S112" s="161"/>
      <c r="T112" s="144"/>
      <c r="U112" s="144"/>
      <c r="V112" s="144"/>
      <c r="W112" s="144"/>
      <c r="X112" s="144"/>
      <c r="Y112" s="144"/>
      <c r="Z112" s="144"/>
      <c r="AA112" s="144"/>
    </row>
    <row r="113" spans="1:27" x14ac:dyDescent="0.25">
      <c r="D113" s="213"/>
      <c r="L113" s="161"/>
      <c r="M113" s="161"/>
      <c r="N113" s="161"/>
      <c r="O113" s="161"/>
      <c r="P113" s="161"/>
      <c r="Q113" s="161"/>
      <c r="R113" s="161"/>
      <c r="S113" s="161"/>
      <c r="T113" s="144"/>
      <c r="U113" s="144"/>
      <c r="V113" s="144"/>
      <c r="W113" s="144"/>
      <c r="X113" s="144"/>
      <c r="Y113" s="144"/>
      <c r="Z113" s="144"/>
      <c r="AA113" s="144"/>
    </row>
    <row r="114" spans="1:27" x14ac:dyDescent="0.25">
      <c r="D114" s="213"/>
      <c r="E114" s="161"/>
      <c r="F114" s="161"/>
      <c r="G114" s="161"/>
      <c r="H114" s="161"/>
      <c r="I114" s="161"/>
      <c r="J114" s="161"/>
      <c r="K114" s="161"/>
      <c r="L114" s="161"/>
      <c r="M114" s="161"/>
      <c r="N114" s="161"/>
      <c r="O114" s="161"/>
      <c r="P114" s="161"/>
      <c r="Q114" s="161"/>
      <c r="R114" s="161"/>
      <c r="S114" s="161"/>
      <c r="V114" s="144"/>
      <c r="W114" s="144"/>
      <c r="X114" s="144"/>
      <c r="Y114" s="144"/>
      <c r="Z114" s="144"/>
      <c r="AA114" s="144"/>
    </row>
    <row r="115" spans="1:27" x14ac:dyDescent="0.25">
      <c r="A115" s="238"/>
      <c r="D115" s="161"/>
      <c r="E115" s="213"/>
      <c r="F115" s="161"/>
      <c r="G115" s="161"/>
      <c r="H115" s="161"/>
      <c r="I115" s="161"/>
      <c r="J115" s="161"/>
      <c r="K115" s="161"/>
      <c r="L115" s="161"/>
      <c r="M115" s="161"/>
      <c r="N115" s="161"/>
      <c r="O115" s="161"/>
      <c r="P115" s="161"/>
      <c r="Q115" s="161"/>
      <c r="R115" s="161"/>
      <c r="S115" s="161"/>
      <c r="V115" s="144"/>
      <c r="W115" s="144"/>
      <c r="X115" s="144"/>
      <c r="Y115" s="144"/>
      <c r="Z115" s="144"/>
      <c r="AA115" s="144"/>
    </row>
    <row r="116" spans="1:27" x14ac:dyDescent="0.25">
      <c r="A116" s="238"/>
      <c r="D116" s="161"/>
      <c r="E116" s="213"/>
      <c r="F116" s="161"/>
      <c r="G116" s="161"/>
      <c r="H116" s="161"/>
      <c r="I116" s="161"/>
      <c r="J116" s="161"/>
      <c r="K116" s="161"/>
      <c r="L116" s="161"/>
      <c r="M116" s="161"/>
      <c r="N116" s="161"/>
      <c r="O116" s="161"/>
      <c r="P116" s="161"/>
      <c r="Q116" s="161"/>
      <c r="R116" s="161"/>
      <c r="S116" s="161"/>
      <c r="V116" s="144"/>
      <c r="W116" s="144"/>
      <c r="X116" s="144"/>
      <c r="Y116" s="144"/>
      <c r="Z116" s="144"/>
      <c r="AA116" s="144"/>
    </row>
    <row r="117" spans="1:27" x14ac:dyDescent="0.25">
      <c r="A117" s="238"/>
      <c r="D117" s="161"/>
      <c r="E117" s="213"/>
      <c r="F117" s="161"/>
      <c r="G117" s="161"/>
      <c r="H117" s="161"/>
      <c r="I117" s="161"/>
      <c r="J117" s="161"/>
      <c r="K117" s="161"/>
      <c r="L117" s="161"/>
      <c r="M117" s="161"/>
      <c r="N117" s="161"/>
      <c r="O117" s="161"/>
      <c r="P117" s="161"/>
      <c r="Q117" s="161"/>
      <c r="R117" s="161"/>
      <c r="S117" s="161"/>
      <c r="V117" s="144"/>
      <c r="W117" s="144"/>
      <c r="X117" s="144"/>
      <c r="Y117" s="144"/>
      <c r="Z117" s="144"/>
      <c r="AA117" s="144"/>
    </row>
    <row r="118" spans="1:27" x14ac:dyDescent="0.25">
      <c r="A118" s="238"/>
      <c r="D118" s="161"/>
      <c r="E118" s="161"/>
      <c r="F118" s="161"/>
      <c r="G118" s="161"/>
      <c r="H118" s="161"/>
      <c r="I118" s="161"/>
      <c r="J118" s="161"/>
      <c r="K118" s="161"/>
      <c r="L118" s="161"/>
      <c r="M118" s="161"/>
      <c r="N118" s="161"/>
      <c r="O118" s="161"/>
      <c r="P118" s="161"/>
      <c r="Q118" s="161"/>
      <c r="R118" s="161"/>
      <c r="S118" s="161"/>
      <c r="V118" s="144"/>
      <c r="W118" s="144"/>
      <c r="X118" s="144"/>
      <c r="Y118" s="144"/>
      <c r="Z118" s="144"/>
      <c r="AA118" s="144"/>
    </row>
    <row r="119" spans="1:27" x14ac:dyDescent="0.25">
      <c r="D119" s="161"/>
      <c r="E119" s="161"/>
      <c r="F119" s="161"/>
      <c r="G119" s="161"/>
      <c r="H119" s="161"/>
      <c r="I119" s="161"/>
      <c r="J119" s="161"/>
      <c r="K119" s="161"/>
      <c r="L119" s="161"/>
      <c r="M119" s="161"/>
      <c r="N119" s="161"/>
      <c r="O119" s="161"/>
      <c r="P119" s="161"/>
      <c r="Q119" s="161"/>
      <c r="R119" s="161"/>
      <c r="S119" s="161"/>
      <c r="V119" s="144"/>
      <c r="W119" s="144"/>
      <c r="X119" s="144"/>
      <c r="Y119" s="144"/>
      <c r="Z119" s="144"/>
      <c r="AA119" s="144"/>
    </row>
    <row r="120" spans="1:27" x14ac:dyDescent="0.25">
      <c r="D120" s="161"/>
      <c r="E120" s="161"/>
      <c r="F120" s="161"/>
      <c r="G120" s="161"/>
      <c r="H120" s="161"/>
      <c r="I120" s="161"/>
      <c r="J120" s="161"/>
      <c r="K120" s="161"/>
      <c r="L120" s="161"/>
      <c r="M120" s="161"/>
      <c r="N120" s="161"/>
      <c r="O120" s="161"/>
      <c r="P120" s="161"/>
      <c r="Q120" s="161"/>
      <c r="R120" s="161"/>
      <c r="S120" s="161"/>
      <c r="V120" s="144"/>
      <c r="W120" s="144"/>
      <c r="X120" s="144"/>
      <c r="Y120" s="144"/>
      <c r="Z120" s="144"/>
      <c r="AA120" s="144"/>
    </row>
    <row r="121" spans="1:27" x14ac:dyDescent="0.25">
      <c r="D121" s="161"/>
      <c r="E121" s="161"/>
      <c r="F121" s="161"/>
      <c r="G121" s="161"/>
      <c r="H121" s="161"/>
      <c r="I121" s="161"/>
      <c r="J121" s="161"/>
      <c r="K121" s="161"/>
      <c r="L121" s="161"/>
      <c r="M121" s="161"/>
      <c r="N121" s="161"/>
      <c r="O121" s="161"/>
      <c r="P121" s="161"/>
      <c r="Q121" s="161"/>
      <c r="R121" s="161"/>
      <c r="S121" s="161"/>
      <c r="V121" s="144"/>
      <c r="W121" s="144"/>
      <c r="X121" s="144"/>
      <c r="Y121" s="144"/>
      <c r="Z121" s="144"/>
      <c r="AA121" s="144"/>
    </row>
    <row r="122" spans="1:27" x14ac:dyDescent="0.25">
      <c r="D122" s="161"/>
      <c r="E122" s="161"/>
      <c r="F122" s="161"/>
      <c r="G122" s="161"/>
      <c r="H122" s="161"/>
      <c r="I122" s="161"/>
      <c r="J122" s="161"/>
      <c r="K122" s="161"/>
      <c r="L122" s="161"/>
      <c r="M122" s="161"/>
      <c r="N122" s="161"/>
      <c r="O122" s="161"/>
      <c r="P122" s="161"/>
      <c r="Q122" s="161"/>
      <c r="R122" s="161"/>
      <c r="S122" s="161"/>
      <c r="V122" s="144"/>
      <c r="W122" s="144"/>
      <c r="X122" s="144"/>
      <c r="Y122" s="144"/>
      <c r="Z122" s="144"/>
      <c r="AA122" s="144"/>
    </row>
    <row r="123" spans="1:27" x14ac:dyDescent="0.25">
      <c r="D123" s="161"/>
      <c r="E123" s="161"/>
      <c r="F123" s="161"/>
      <c r="G123" s="161"/>
      <c r="H123" s="161"/>
      <c r="I123" s="161"/>
      <c r="J123" s="161"/>
      <c r="K123" s="161"/>
      <c r="L123" s="161"/>
      <c r="M123" s="161"/>
      <c r="N123" s="161"/>
      <c r="O123" s="161"/>
      <c r="P123" s="161"/>
      <c r="Q123" s="161"/>
      <c r="R123" s="161"/>
      <c r="S123" s="161"/>
      <c r="V123" s="144"/>
      <c r="W123" s="144"/>
      <c r="X123" s="144"/>
      <c r="Y123" s="144"/>
      <c r="Z123" s="144"/>
      <c r="AA123" s="144"/>
    </row>
    <row r="124" spans="1:27" x14ac:dyDescent="0.25">
      <c r="D124" s="161"/>
      <c r="E124" s="161"/>
      <c r="F124" s="161"/>
      <c r="G124" s="161"/>
      <c r="H124" s="161"/>
      <c r="I124" s="161"/>
      <c r="J124" s="161"/>
      <c r="K124" s="161"/>
      <c r="L124" s="161"/>
      <c r="M124" s="161"/>
      <c r="N124" s="161"/>
      <c r="O124" s="161"/>
      <c r="P124" s="161"/>
      <c r="Q124" s="161"/>
      <c r="R124" s="161"/>
      <c r="S124" s="161"/>
      <c r="V124" s="144"/>
      <c r="W124" s="144"/>
      <c r="X124" s="144"/>
      <c r="Y124" s="144"/>
      <c r="Z124" s="144"/>
      <c r="AA124" s="144"/>
    </row>
    <row r="125" spans="1:27" x14ac:dyDescent="0.25">
      <c r="D125" s="161"/>
      <c r="E125" s="161"/>
      <c r="F125" s="161"/>
      <c r="G125" s="161"/>
      <c r="H125" s="161"/>
      <c r="I125" s="161"/>
      <c r="J125" s="161"/>
      <c r="K125" s="161"/>
      <c r="L125" s="161"/>
      <c r="M125" s="161"/>
      <c r="N125" s="161"/>
      <c r="O125" s="161"/>
      <c r="P125" s="161"/>
      <c r="Q125" s="161"/>
      <c r="R125" s="161"/>
      <c r="S125" s="161"/>
      <c r="V125" s="144"/>
      <c r="W125" s="144"/>
      <c r="X125" s="144"/>
      <c r="Y125" s="144"/>
      <c r="Z125" s="144"/>
      <c r="AA125" s="144"/>
    </row>
    <row r="126" spans="1:27" x14ac:dyDescent="0.25">
      <c r="D126" s="161"/>
      <c r="E126" s="161"/>
      <c r="F126" s="161"/>
      <c r="G126" s="161"/>
      <c r="H126" s="161"/>
      <c r="I126" s="161"/>
      <c r="J126" s="161"/>
      <c r="K126" s="161"/>
      <c r="L126" s="161"/>
      <c r="M126" s="161"/>
      <c r="N126" s="161"/>
      <c r="O126" s="161"/>
      <c r="P126" s="161"/>
      <c r="Q126" s="161"/>
      <c r="R126" s="161"/>
      <c r="S126" s="161"/>
      <c r="V126" s="144"/>
      <c r="W126" s="144"/>
      <c r="X126" s="144"/>
      <c r="Y126" s="144"/>
      <c r="Z126" s="144"/>
      <c r="AA126" s="144"/>
    </row>
    <row r="127" spans="1:27" x14ac:dyDescent="0.25">
      <c r="D127" s="161"/>
      <c r="E127" s="161"/>
      <c r="F127" s="161"/>
      <c r="G127" s="161"/>
      <c r="H127" s="161"/>
      <c r="I127" s="161"/>
      <c r="J127" s="161"/>
      <c r="K127" s="161"/>
      <c r="L127" s="161"/>
      <c r="M127" s="161"/>
      <c r="N127" s="161"/>
      <c r="O127" s="161"/>
      <c r="P127" s="161"/>
      <c r="Q127" s="161"/>
      <c r="R127" s="161"/>
      <c r="S127" s="161"/>
      <c r="V127" s="144"/>
      <c r="W127" s="144"/>
      <c r="X127" s="144"/>
      <c r="Y127" s="144"/>
      <c r="Z127" s="144"/>
      <c r="AA127" s="144"/>
    </row>
    <row r="128" spans="1:27" x14ac:dyDescent="0.25">
      <c r="D128" s="161"/>
      <c r="E128" s="161"/>
      <c r="F128" s="161"/>
      <c r="G128" s="161"/>
      <c r="H128" s="161"/>
      <c r="I128" s="161"/>
      <c r="J128" s="161"/>
      <c r="K128" s="161"/>
      <c r="L128" s="161"/>
      <c r="M128" s="161"/>
      <c r="N128" s="161"/>
      <c r="O128" s="161"/>
      <c r="P128" s="161"/>
      <c r="Q128" s="161"/>
      <c r="R128" s="161"/>
      <c r="S128" s="161"/>
      <c r="V128" s="144"/>
      <c r="W128" s="144"/>
      <c r="X128" s="144"/>
      <c r="Y128" s="144"/>
      <c r="Z128" s="144"/>
      <c r="AA128" s="144"/>
    </row>
    <row r="129" spans="4:29" x14ac:dyDescent="0.25">
      <c r="D129" s="161"/>
      <c r="E129" s="161"/>
      <c r="F129" s="161"/>
      <c r="G129" s="161"/>
      <c r="H129" s="161"/>
      <c r="I129" s="161"/>
      <c r="J129" s="161"/>
      <c r="K129" s="161"/>
      <c r="L129" s="161"/>
      <c r="M129" s="161"/>
      <c r="N129" s="161"/>
      <c r="O129" s="161"/>
      <c r="P129" s="161"/>
      <c r="Q129" s="161"/>
      <c r="R129" s="161"/>
      <c r="S129" s="161"/>
      <c r="V129" s="144"/>
      <c r="W129" s="144"/>
      <c r="X129" s="144"/>
      <c r="Y129" s="144"/>
      <c r="Z129" s="144"/>
      <c r="AA129" s="144"/>
    </row>
    <row r="130" spans="4:29" x14ac:dyDescent="0.25">
      <c r="D130" s="161"/>
      <c r="E130" s="161"/>
      <c r="F130" s="161"/>
      <c r="G130" s="161"/>
      <c r="H130" s="161"/>
      <c r="I130" s="161"/>
      <c r="J130" s="161"/>
      <c r="K130" s="161"/>
      <c r="L130" s="161"/>
      <c r="M130" s="161"/>
      <c r="N130" s="161"/>
      <c r="O130" s="161"/>
      <c r="P130" s="161"/>
      <c r="Q130" s="161"/>
      <c r="R130" s="161"/>
      <c r="S130" s="161"/>
      <c r="V130" s="144"/>
      <c r="W130" s="144"/>
      <c r="X130" s="144"/>
      <c r="Y130" s="144"/>
      <c r="Z130" s="144"/>
      <c r="AA130" s="144"/>
    </row>
    <row r="131" spans="4:29" x14ac:dyDescent="0.25">
      <c r="D131" s="161"/>
      <c r="E131" s="161"/>
      <c r="F131" s="161"/>
      <c r="G131" s="161"/>
      <c r="H131" s="161"/>
      <c r="I131" s="161"/>
      <c r="J131" s="161"/>
      <c r="K131" s="161"/>
      <c r="L131" s="161"/>
      <c r="M131" s="161"/>
      <c r="N131" s="161"/>
      <c r="O131" s="161"/>
      <c r="P131" s="161"/>
      <c r="Q131" s="161"/>
      <c r="R131" s="161"/>
      <c r="S131" s="161"/>
      <c r="V131" s="144"/>
      <c r="W131" s="144"/>
      <c r="X131" s="144"/>
      <c r="Y131" s="144"/>
      <c r="Z131" s="144"/>
      <c r="AA131" s="144"/>
    </row>
    <row r="132" spans="4:29" x14ac:dyDescent="0.25">
      <c r="D132" s="161"/>
      <c r="E132" s="161"/>
      <c r="F132" s="161"/>
      <c r="G132" s="161"/>
      <c r="H132" s="161"/>
      <c r="I132" s="161"/>
      <c r="J132" s="161"/>
      <c r="K132" s="161"/>
      <c r="L132" s="161"/>
      <c r="M132" s="161"/>
      <c r="N132" s="161"/>
      <c r="O132" s="161"/>
      <c r="P132" s="161"/>
      <c r="Q132" s="161"/>
      <c r="R132" s="161"/>
      <c r="S132" s="161"/>
      <c r="V132" s="144"/>
      <c r="W132" s="144"/>
      <c r="X132" s="144"/>
      <c r="Y132" s="144"/>
      <c r="Z132" s="144"/>
      <c r="AA132" s="144"/>
    </row>
    <row r="133" spans="4:29" x14ac:dyDescent="0.25">
      <c r="D133" s="161"/>
      <c r="E133" s="161"/>
      <c r="F133" s="161"/>
      <c r="G133" s="161"/>
      <c r="H133" s="161"/>
      <c r="I133" s="161"/>
      <c r="J133" s="161"/>
      <c r="K133" s="161"/>
      <c r="L133" s="161"/>
      <c r="M133" s="161"/>
      <c r="N133" s="161"/>
      <c r="O133" s="161"/>
      <c r="P133" s="161"/>
      <c r="Q133" s="161"/>
      <c r="R133" s="161"/>
      <c r="S133" s="161"/>
      <c r="V133" s="144"/>
      <c r="W133" s="144"/>
      <c r="X133" s="144"/>
      <c r="Y133" s="144"/>
      <c r="Z133" s="144"/>
      <c r="AA133" s="144"/>
    </row>
    <row r="134" spans="4:29" x14ac:dyDescent="0.25">
      <c r="D134" s="161"/>
      <c r="E134" s="161"/>
      <c r="F134" s="161"/>
      <c r="G134" s="161"/>
      <c r="H134" s="161"/>
      <c r="I134" s="161"/>
      <c r="J134" s="161"/>
      <c r="K134" s="161"/>
      <c r="L134" s="161"/>
      <c r="M134" s="161"/>
      <c r="N134" s="161"/>
      <c r="O134" s="161"/>
      <c r="P134" s="161"/>
      <c r="Q134" s="161"/>
      <c r="R134" s="161"/>
      <c r="S134" s="161"/>
      <c r="V134" s="144"/>
      <c r="W134" s="144"/>
      <c r="X134" s="144"/>
      <c r="Y134" s="144"/>
      <c r="Z134" s="144"/>
      <c r="AA134" s="144"/>
    </row>
    <row r="135" spans="4:29" x14ac:dyDescent="0.25">
      <c r="D135" s="161"/>
      <c r="E135" s="161"/>
      <c r="F135" s="161"/>
      <c r="G135" s="161"/>
      <c r="H135" s="161"/>
      <c r="I135" s="161"/>
      <c r="J135" s="161"/>
      <c r="K135" s="161"/>
      <c r="L135" s="161"/>
      <c r="M135" s="161"/>
      <c r="N135" s="161"/>
      <c r="O135" s="161"/>
      <c r="P135" s="161"/>
      <c r="Q135" s="161"/>
      <c r="R135" s="161"/>
      <c r="S135" s="161"/>
      <c r="V135" s="144"/>
      <c r="W135" s="144"/>
      <c r="X135" s="144"/>
      <c r="Y135" s="144"/>
      <c r="Z135" s="144"/>
      <c r="AA135" s="144"/>
    </row>
    <row r="136" spans="4:29" x14ac:dyDescent="0.25">
      <c r="E136" s="161"/>
      <c r="F136" s="161"/>
      <c r="G136" s="161"/>
      <c r="H136" s="161"/>
      <c r="I136" s="161"/>
      <c r="J136" s="161"/>
      <c r="K136" s="161"/>
      <c r="L136" s="161"/>
      <c r="M136" s="161"/>
      <c r="N136" s="161"/>
      <c r="O136" s="161"/>
      <c r="P136" s="161"/>
      <c r="Q136" s="161"/>
      <c r="R136" s="161"/>
      <c r="S136" s="161"/>
      <c r="V136" s="144"/>
      <c r="W136" s="144"/>
      <c r="X136" s="144"/>
      <c r="Y136" s="144"/>
      <c r="Z136" s="144"/>
      <c r="AA136" s="144"/>
    </row>
    <row r="137" spans="4:29" x14ac:dyDescent="0.25">
      <c r="E137" s="161"/>
      <c r="F137" s="161"/>
      <c r="G137" s="161"/>
      <c r="H137" s="161"/>
      <c r="I137" s="161"/>
      <c r="J137" s="161"/>
      <c r="K137" s="161"/>
      <c r="L137" s="161"/>
      <c r="M137" s="161"/>
      <c r="N137" s="161"/>
      <c r="O137" s="161"/>
      <c r="P137" s="161"/>
      <c r="Q137" s="161"/>
      <c r="R137" s="161"/>
      <c r="S137" s="161"/>
      <c r="V137" s="144"/>
      <c r="W137" s="144"/>
      <c r="X137" s="144"/>
      <c r="Y137" s="144"/>
      <c r="Z137" s="144"/>
      <c r="AA137" s="144"/>
    </row>
    <row r="138" spans="4:29" x14ac:dyDescent="0.25">
      <c r="E138" s="161"/>
      <c r="F138" s="161"/>
      <c r="G138" s="161"/>
      <c r="H138" s="161"/>
      <c r="I138" s="161"/>
      <c r="J138" s="161"/>
      <c r="K138" s="161"/>
      <c r="L138" s="161"/>
      <c r="M138" s="161"/>
      <c r="N138" s="161"/>
      <c r="O138" s="161"/>
      <c r="P138" s="161"/>
      <c r="Q138" s="161"/>
      <c r="R138" s="161"/>
      <c r="S138" s="161"/>
      <c r="V138" s="144"/>
      <c r="W138" s="144"/>
      <c r="X138" s="144"/>
      <c r="Y138" s="144"/>
      <c r="Z138" s="144"/>
      <c r="AA138" s="144"/>
    </row>
    <row r="139" spans="4:29" x14ac:dyDescent="0.25">
      <c r="L139" s="161"/>
      <c r="M139" s="161"/>
      <c r="N139" s="161"/>
      <c r="O139" s="161"/>
      <c r="P139" s="161"/>
      <c r="Q139" s="161"/>
      <c r="R139" s="161"/>
      <c r="S139" s="161"/>
      <c r="AB139" s="161"/>
      <c r="AC139" s="161"/>
    </row>
    <row r="140" spans="4:29" x14ac:dyDescent="0.25">
      <c r="L140" s="161"/>
      <c r="M140" s="161"/>
      <c r="N140" s="161"/>
      <c r="O140" s="161"/>
      <c r="P140" s="161"/>
      <c r="Q140" s="161"/>
      <c r="R140" s="161"/>
      <c r="S140" s="161"/>
      <c r="AB140" s="161"/>
      <c r="AC140" s="161"/>
    </row>
  </sheetData>
  <sheetProtection algorithmName="SHA-512" hashValue="I75Nk+Xy2q3Tp2ckt8Iff4OcGXqj98+lBzTr4XINJvtGXPTpXIk04dNRRo2Btf+h4Y4P37wqPk0dTqT/gNI46Q==" saltValue="QZ+Wqbz+w4ufapjVVGiV9w==" spinCount="100000" sheet="1" objects="1" scenarios="1"/>
  <mergeCells count="20">
    <mergeCell ref="C27:F27"/>
    <mergeCell ref="B63:E63"/>
    <mergeCell ref="B18:H18"/>
    <mergeCell ref="B26:G26"/>
    <mergeCell ref="B37:E37"/>
    <mergeCell ref="B43:F43"/>
    <mergeCell ref="B50:E50"/>
    <mergeCell ref="B56:E56"/>
    <mergeCell ref="A1:L1"/>
    <mergeCell ref="A2:L15"/>
    <mergeCell ref="C19:F19"/>
    <mergeCell ref="G19:G20"/>
    <mergeCell ref="H19:H20"/>
    <mergeCell ref="B69:H69"/>
    <mergeCell ref="B79:C79"/>
    <mergeCell ref="B84:C84"/>
    <mergeCell ref="B80:C80"/>
    <mergeCell ref="B81:C81"/>
    <mergeCell ref="B76:D76"/>
    <mergeCell ref="B78:C78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40"/>
  <sheetViews>
    <sheetView zoomScale="94" zoomScaleNormal="94" workbookViewId="0">
      <selection activeCell="B6" sqref="B6"/>
    </sheetView>
  </sheetViews>
  <sheetFormatPr baseColWidth="10" defaultColWidth="10.625" defaultRowHeight="13.5" x14ac:dyDescent="0.25"/>
  <cols>
    <col min="1" max="1" width="7" style="78" bestFit="1" customWidth="1"/>
    <col min="2" max="2" width="17.625" style="78" bestFit="1" customWidth="1"/>
    <col min="3" max="3" width="8" style="78" customWidth="1"/>
    <col min="4" max="4" width="10.125" style="78" bestFit="1" customWidth="1"/>
    <col min="5" max="5" width="8.125" style="78" bestFit="1" customWidth="1"/>
    <col min="6" max="6" width="8.5" style="78" bestFit="1" customWidth="1"/>
    <col min="7" max="7" width="6.5" style="78" customWidth="1"/>
    <col min="8" max="8" width="11.625" style="78" bestFit="1" customWidth="1"/>
    <col min="9" max="9" width="15.625" style="78" customWidth="1"/>
    <col min="10" max="10" width="8.625" style="78" bestFit="1" customWidth="1"/>
    <col min="11" max="11" width="17" style="78" bestFit="1" customWidth="1"/>
    <col min="12" max="12" width="13.125" style="78" bestFit="1" customWidth="1"/>
    <col min="13" max="13" width="14" style="78" bestFit="1" customWidth="1"/>
    <col min="14" max="14" width="6.125" style="78" customWidth="1"/>
    <col min="15" max="15" width="11.625" style="78" bestFit="1" customWidth="1"/>
    <col min="16" max="16" width="17.5" style="78" customWidth="1"/>
    <col min="17" max="17" width="8.625" style="78" bestFit="1" customWidth="1"/>
    <col min="18" max="18" width="17" style="78" bestFit="1" customWidth="1"/>
    <col min="19" max="19" width="13.125" style="78" bestFit="1" customWidth="1"/>
    <col min="20" max="20" width="14" style="78" bestFit="1" customWidth="1"/>
    <col min="21" max="16384" width="10.625" style="78"/>
  </cols>
  <sheetData>
    <row r="1" spans="1:20" s="73" customFormat="1" ht="27.75" customHeight="1" x14ac:dyDescent="0.25">
      <c r="A1" s="71" t="s">
        <v>323</v>
      </c>
      <c r="B1" s="72" t="s">
        <v>324</v>
      </c>
      <c r="C1" s="72" t="s">
        <v>325</v>
      </c>
      <c r="D1" s="72" t="s">
        <v>326</v>
      </c>
      <c r="E1" s="72" t="s">
        <v>327</v>
      </c>
      <c r="F1" s="72" t="s">
        <v>328</v>
      </c>
      <c r="H1" s="72" t="s">
        <v>323</v>
      </c>
      <c r="I1" s="72" t="s">
        <v>329</v>
      </c>
      <c r="J1" s="72" t="s">
        <v>325</v>
      </c>
      <c r="K1" s="72" t="s">
        <v>326</v>
      </c>
      <c r="L1" s="72" t="s">
        <v>327</v>
      </c>
      <c r="M1" s="72" t="s">
        <v>328</v>
      </c>
      <c r="O1" s="72" t="s">
        <v>323</v>
      </c>
      <c r="P1" s="72" t="s">
        <v>330</v>
      </c>
      <c r="Q1" s="72" t="s">
        <v>325</v>
      </c>
      <c r="R1" s="72" t="s">
        <v>326</v>
      </c>
      <c r="S1" s="72" t="s">
        <v>327</v>
      </c>
      <c r="T1" s="72" t="s">
        <v>328</v>
      </c>
    </row>
    <row r="2" spans="1:20" x14ac:dyDescent="0.25">
      <c r="A2" s="74">
        <f t="shared" ref="A2:A5" si="0">+A3-5%</f>
        <v>0.74999999999999978</v>
      </c>
      <c r="B2" s="75">
        <f t="shared" ref="B2:B5" si="1">+$B$7*A2</f>
        <v>56815317721345.484</v>
      </c>
      <c r="C2" s="76">
        <f>+'CEV 2026'!$C$95/(B2+('CEV 2026'!$C$86*'CEV 2026'!$C$91)+('CEV 2026'!$C$87*'CEV 2026'!$C$92))</f>
        <v>1.3249617975920973E-3</v>
      </c>
      <c r="D2" s="77">
        <f t="shared" ref="D2:D6" si="2">+(C2-$C$7)/$C$7</f>
        <v>0.2777478253455169</v>
      </c>
      <c r="E2" s="76">
        <f>+C2*'CEV 2026'!$C$91</f>
        <v>9.9125770165808856E-4</v>
      </c>
      <c r="F2" s="76">
        <f>+C2*'CEV 2026'!$C$92</f>
        <v>3.3370409593400877E-4</v>
      </c>
      <c r="H2" s="74">
        <f t="shared" ref="H2:H5" si="3">+H3-5%</f>
        <v>0.74999999999999978</v>
      </c>
      <c r="I2" s="75">
        <f>+$I$7*H2</f>
        <v>1265148812964.7495</v>
      </c>
      <c r="J2" s="76">
        <f>+'CEV 2026'!$C$95/('CEV 2026'!$C$85+(I2*'CEV 2026'!$C$91)+('CEV 2026'!$C$87*'CEV 2026'!$C$92))</f>
        <v>1.0407196931258636E-3</v>
      </c>
      <c r="K2" s="77">
        <f>+(J2-$J$7)/$J$7</f>
        <v>3.6344648596510873E-3</v>
      </c>
      <c r="L2" s="76">
        <f>+J2*'CEV 2026'!$C$91</f>
        <v>7.7860464577398302E-4</v>
      </c>
      <c r="M2" s="76">
        <f>+J2*'CEV 2026'!$C$92</f>
        <v>2.6211504735188055E-4</v>
      </c>
      <c r="O2" s="74">
        <f t="shared" ref="O2:O5" si="4">+O3-5%</f>
        <v>0.74999999999999978</v>
      </c>
      <c r="P2" s="75">
        <f>+$P$7*O2</f>
        <v>30101328279804.742</v>
      </c>
      <c r="Q2" s="76">
        <f>+'CEV 2026'!$C$95/('CEV 2026'!$C$85+('CEV 2026'!$C$86*'CEV 2026'!$C$91)+('Análisis Sens'!P2*'CEV 2026'!$C$92))</f>
        <v>1.0679269403094231E-3</v>
      </c>
      <c r="R2" s="77">
        <f>+(Q2-$Q$7)/$Q$7</f>
        <v>2.9872203174528492E-2</v>
      </c>
      <c r="S2" s="76">
        <f>+Q2*'CEV 2026'!$C$91</f>
        <v>7.9895949174813193E-4</v>
      </c>
      <c r="T2" s="76">
        <f>+Q2*'CEV 2026'!$C$92</f>
        <v>2.6896744856129109E-4</v>
      </c>
    </row>
    <row r="3" spans="1:20" x14ac:dyDescent="0.25">
      <c r="A3" s="74">
        <f t="shared" si="0"/>
        <v>0.79999999999999982</v>
      </c>
      <c r="B3" s="75">
        <f t="shared" si="1"/>
        <v>60603005569435.188</v>
      </c>
      <c r="C3" s="76">
        <f>+'CEV 2026'!$C$95/(B3+('CEV 2026'!$C$86*'CEV 2026'!$C$91)+('CEV 2026'!$C$87*'CEV 2026'!$C$92))</f>
        <v>1.2552340898414906E-3</v>
      </c>
      <c r="D3" s="77">
        <f t="shared" si="2"/>
        <v>0.21050480965511731</v>
      </c>
      <c r="E3" s="76">
        <f>+C3*'CEV 2026'!$C$91</f>
        <v>9.3909157320641221E-4</v>
      </c>
      <c r="F3" s="76">
        <f>+C3*'CEV 2026'!$C$92</f>
        <v>3.1614251663507836E-4</v>
      </c>
      <c r="H3" s="74">
        <f t="shared" si="3"/>
        <v>0.79999999999999982</v>
      </c>
      <c r="I3" s="75">
        <f>+$I$7*H3</f>
        <v>1349492067162.3997</v>
      </c>
      <c r="J3" s="76">
        <f>+'CEV 2026'!$C$95/('CEV 2026'!$C$85+(I3*'CEV 2026'!$C$91)+('CEV 2026'!$C$87*'CEV 2026'!$C$92))</f>
        <v>1.0399637507843562E-3</v>
      </c>
      <c r="K3" s="77">
        <f t="shared" ref="K3:K12" si="5">+(J3-$J$7)/$J$7</f>
        <v>2.9054599293179498E-3</v>
      </c>
      <c r="L3" s="76">
        <f>+J3*'CEV 2026'!$C$91</f>
        <v>7.7803909462421364E-4</v>
      </c>
      <c r="M3" s="76">
        <f>+J3*'CEV 2026'!$C$92</f>
        <v>2.6192465616014246E-4</v>
      </c>
      <c r="O3" s="74">
        <f t="shared" si="4"/>
        <v>0.79999999999999982</v>
      </c>
      <c r="P3" s="75">
        <f>+$P$7*O3</f>
        <v>32108083498458.395</v>
      </c>
      <c r="Q3" s="76">
        <f>+'CEV 2026'!$C$95/('CEV 2026'!$C$85+('CEV 2026'!$C$86*'CEV 2026'!$C$91)+('Análisis Sens'!P3*'CEV 2026'!$C$92))</f>
        <v>1.0615845663388991E-3</v>
      </c>
      <c r="R3" s="77">
        <f t="shared" ref="R3:R12" si="6">+(Q3-$Q$7)/$Q$7</f>
        <v>2.3755834715383044E-2</v>
      </c>
      <c r="S3" s="76">
        <f>+Q3*'CEV 2026'!$C$91</f>
        <v>7.9421450434056812E-4</v>
      </c>
      <c r="T3" s="76">
        <f>+Q3*'CEV 2026'!$C$92</f>
        <v>2.6737006199833096E-4</v>
      </c>
    </row>
    <row r="4" spans="1:20" x14ac:dyDescent="0.25">
      <c r="A4" s="74">
        <f t="shared" si="0"/>
        <v>0.84999999999999987</v>
      </c>
      <c r="B4" s="75">
        <f t="shared" si="1"/>
        <v>64390693417524.891</v>
      </c>
      <c r="C4" s="76">
        <f>+'CEV 2026'!$C$95/(B4+('CEV 2026'!$C$86*'CEV 2026'!$C$91)+('CEV 2026'!$C$87*'CEV 2026'!$C$92))</f>
        <v>1.1924784761799686E-3</v>
      </c>
      <c r="D4" s="77">
        <f t="shared" si="2"/>
        <v>0.14998544296095453</v>
      </c>
      <c r="E4" s="76">
        <f>+C4*'CEV 2026'!$C$91</f>
        <v>8.9214155134365784E-4</v>
      </c>
      <c r="F4" s="76">
        <f>+C4*'CEV 2026'!$C$92</f>
        <v>3.0033692483631068E-4</v>
      </c>
      <c r="H4" s="74">
        <f t="shared" si="3"/>
        <v>0.84999999999999987</v>
      </c>
      <c r="I4" s="75">
        <f>+$I$7*H4</f>
        <v>1433835321360.0498</v>
      </c>
      <c r="J4" s="76">
        <f>+'CEV 2026'!$C$95/('CEV 2026'!$C$85+(I4*'CEV 2026'!$C$91)+('CEV 2026'!$C$87*'CEV 2026'!$C$92))</f>
        <v>1.0392089058258393E-3</v>
      </c>
      <c r="K4" s="77">
        <f t="shared" si="5"/>
        <v>2.1775132775949499E-3</v>
      </c>
      <c r="L4" s="76">
        <f>+J4*'CEV 2026'!$C$91</f>
        <v>7.7747436447120279E-4</v>
      </c>
      <c r="M4" s="76">
        <f>+J4*'CEV 2026'!$C$92</f>
        <v>2.6173454135463637E-4</v>
      </c>
      <c r="O4" s="74">
        <f t="shared" si="4"/>
        <v>0.84999999999999987</v>
      </c>
      <c r="P4" s="75">
        <f>+$P$7*O4</f>
        <v>34114838717112.043</v>
      </c>
      <c r="Q4" s="76">
        <f>+'CEV 2026'!$C$95/('CEV 2026'!$C$85+('CEV 2026'!$C$86*'CEV 2026'!$C$91)+('Análisis Sens'!P4*'CEV 2026'!$C$92))</f>
        <v>1.0553170817970267E-3</v>
      </c>
      <c r="R4" s="77">
        <f t="shared" si="6"/>
        <v>1.7711687058961631E-2</v>
      </c>
      <c r="S4" s="76">
        <f>+Q4*'CEV 2026'!$C$91</f>
        <v>7.8952554475437877E-4</v>
      </c>
      <c r="T4" s="76">
        <f>+Q4*'CEV 2026'!$C$92</f>
        <v>2.657915370426478E-4</v>
      </c>
    </row>
    <row r="5" spans="1:20" x14ac:dyDescent="0.25">
      <c r="A5" s="74">
        <f t="shared" si="0"/>
        <v>0.89999999999999991</v>
      </c>
      <c r="B5" s="75">
        <f t="shared" si="1"/>
        <v>68178381265614.594</v>
      </c>
      <c r="C5" s="76">
        <f>+'CEV 2026'!$C$95/(B5+('CEV 2026'!$C$86*'CEV 2026'!$C$91)+('CEV 2026'!$C$87*'CEV 2026'!$C$92))</f>
        <v>1.1356990352238429E-3</v>
      </c>
      <c r="D5" s="77">
        <f t="shared" si="2"/>
        <v>9.522929275506091E-2</v>
      </c>
      <c r="E5" s="76">
        <f>+C5*'CEV 2026'!$C$91</f>
        <v>8.496625468577281E-4</v>
      </c>
      <c r="F5" s="76">
        <f>+C5*'CEV 2026'!$C$92</f>
        <v>2.8603648836611478E-4</v>
      </c>
      <c r="H5" s="74">
        <f t="shared" si="3"/>
        <v>0.89999999999999991</v>
      </c>
      <c r="I5" s="75">
        <f>+$I$7*H5</f>
        <v>1518178575557.7</v>
      </c>
      <c r="J5" s="76">
        <f>+'CEV 2026'!$C$95/('CEV 2026'!$C$85+(I5*'CEV 2026'!$C$91)+('CEV 2026'!$C$87*'CEV 2026'!$C$92))</f>
        <v>1.0384551558624802E-3</v>
      </c>
      <c r="K5" s="77">
        <f t="shared" si="5"/>
        <v>1.4506226017380708E-3</v>
      </c>
      <c r="L5" s="76">
        <f>+J5*'CEV 2026'!$C$91</f>
        <v>7.7691045352851608E-4</v>
      </c>
      <c r="M5" s="76">
        <f>+J5*'CEV 2026'!$C$92</f>
        <v>2.6154470233396415E-4</v>
      </c>
      <c r="O5" s="74">
        <f t="shared" si="4"/>
        <v>0.89999999999999991</v>
      </c>
      <c r="P5" s="75">
        <f>+$P$7*O5</f>
        <v>36121593935765.695</v>
      </c>
      <c r="Q5" s="76">
        <f>+'CEV 2026'!$C$95/('CEV 2026'!$C$85+('CEV 2026'!$C$86*'CEV 2026'!$C$91)+('Análisis Sens'!P5*'CEV 2026'!$C$92))</f>
        <v>1.0491231680507529E-3</v>
      </c>
      <c r="R5" s="77">
        <f t="shared" si="6"/>
        <v>1.1738488560663863E-2</v>
      </c>
      <c r="S5" s="76">
        <f>+Q5*'CEV 2026'!$C$91</f>
        <v>7.848916264666532E-4</v>
      </c>
      <c r="T5" s="76">
        <f>+Q5*'CEV 2026'!$C$92</f>
        <v>2.6423154158409964E-4</v>
      </c>
    </row>
    <row r="6" spans="1:20" x14ac:dyDescent="0.25">
      <c r="A6" s="74">
        <f>+A7-5%</f>
        <v>0.95</v>
      </c>
      <c r="B6" s="75">
        <f>+$B$7*A6</f>
        <v>71966069113704.297</v>
      </c>
      <c r="C6" s="76">
        <f>+'CEV 2026'!$C$95/(B6+('CEV 2026'!$C$86*'CEV 2026'!$C$91)+('CEV 2026'!$C$87*'CEV 2026'!$C$92))</f>
        <v>1.0840809062291109E-3</v>
      </c>
      <c r="D6" s="77">
        <f t="shared" si="2"/>
        <v>4.545053521557138E-2</v>
      </c>
      <c r="E6" s="76">
        <f>+C6*'CEV 2026'!$C$91</f>
        <v>8.1104492935041858E-4</v>
      </c>
      <c r="F6" s="76">
        <f>+C6*'CEV 2026'!$C$92</f>
        <v>2.7303597687869223E-4</v>
      </c>
      <c r="H6" s="74">
        <f>+H7-5%</f>
        <v>0.95</v>
      </c>
      <c r="I6" s="75">
        <f>+$I$7*H6</f>
        <v>1602521829755.3499</v>
      </c>
      <c r="J6" s="76">
        <f>+'CEV 2026'!$C$95/('CEV 2026'!$C$85+(I6*'CEV 2026'!$C$91)+('CEV 2026'!$C$87*'CEV 2026'!$C$92))</f>
        <v>1.0377024985133683E-3</v>
      </c>
      <c r="K6" s="77">
        <f t="shared" si="5"/>
        <v>7.247856056784072E-4</v>
      </c>
      <c r="L6" s="76">
        <f>+J6*'CEV 2026'!$C$91</f>
        <v>7.7634736001489727E-4</v>
      </c>
      <c r="M6" s="76">
        <f>+J6*'CEV 2026'!$C$92</f>
        <v>2.61355138498471E-4</v>
      </c>
      <c r="O6" s="74">
        <f>+O7-5%</f>
        <v>0.95</v>
      </c>
      <c r="P6" s="75">
        <f>+$P$7*O6</f>
        <v>38128349154419.352</v>
      </c>
      <c r="Q6" s="76">
        <f>+'CEV 2026'!$C$95/('CEV 2026'!$C$85+('CEV 2026'!$C$86*'CEV 2026'!$C$91)+('Análisis Sens'!P6*'CEV 2026'!$C$92))</f>
        <v>1.0430015372439065E-3</v>
      </c>
      <c r="R6" s="77">
        <f t="shared" si="6"/>
        <v>5.8349972560608424E-3</v>
      </c>
      <c r="S6" s="76">
        <f>+Q6*'CEV 2026'!$C$91</f>
        <v>7.8031178597991484E-4</v>
      </c>
      <c r="T6" s="76">
        <f>+Q6*'CEV 2026'!$C$92</f>
        <v>2.6268975126399159E-4</v>
      </c>
    </row>
    <row r="7" spans="1:20" x14ac:dyDescent="0.25">
      <c r="A7" s="79">
        <v>1</v>
      </c>
      <c r="B7" s="80" cm="1">
        <f t="array" ref="B7">+'CEV 2026'!C85:C85</f>
        <v>75753756961794</v>
      </c>
      <c r="C7" s="81">
        <f>+'CEV 2026'!$C$95/(B7+('CEV 2026'!$C$86*'CEV 2026'!$C$91)+('CEV 2026'!$C$87*'CEV 2026'!$C$92))</f>
        <v>1.0369509314044915E-3</v>
      </c>
      <c r="D7" s="82">
        <f>+(C7-$C$7)/$C$7</f>
        <v>0</v>
      </c>
      <c r="E7" s="81">
        <f>+C7*'CEV 2026'!$C$91</f>
        <v>7.757850821542518E-4</v>
      </c>
      <c r="F7" s="81">
        <f>+C7*'CEV 2026'!$C$92</f>
        <v>2.6116584925023963E-4</v>
      </c>
      <c r="H7" s="79">
        <v>1</v>
      </c>
      <c r="I7" s="80">
        <f>+'CEV 2026'!C86</f>
        <v>1686865083953</v>
      </c>
      <c r="J7" s="81">
        <f>+'CEV 2026'!$C$95/('CEV 2026'!$C$85+(I7*'CEV 2026'!$C$91)+('CEV 2026'!$C$87*'CEV 2026'!$C$92))</f>
        <v>1.0369509314044915E-3</v>
      </c>
      <c r="K7" s="82">
        <f t="shared" si="5"/>
        <v>0</v>
      </c>
      <c r="L7" s="81">
        <f>+J7*'CEV 2026'!$C$91</f>
        <v>7.757850821542518E-4</v>
      </c>
      <c r="M7" s="81">
        <f>+J7*'CEV 2026'!$C$92</f>
        <v>2.6116584925023963E-4</v>
      </c>
      <c r="O7" s="79">
        <v>1</v>
      </c>
      <c r="P7" s="80">
        <f>+'CEV 2026'!C87</f>
        <v>40135104373073</v>
      </c>
      <c r="Q7" s="81">
        <f>+'CEV 2026'!$C$95/('CEV 2026'!$C$85+('CEV 2026'!$C$86*'CEV 2026'!$C$91)+('Análisis Sens'!P7*'CEV 2026'!$C$92))</f>
        <v>1.0369509314044915E-3</v>
      </c>
      <c r="R7" s="82">
        <f t="shared" si="6"/>
        <v>0</v>
      </c>
      <c r="S7" s="81">
        <f>+Q7*'CEV 2026'!$C$91</f>
        <v>7.757850821542518E-4</v>
      </c>
      <c r="T7" s="81">
        <f>+Q7*'CEV 2026'!$C$92</f>
        <v>2.6116584925023963E-4</v>
      </c>
    </row>
    <row r="8" spans="1:20" x14ac:dyDescent="0.25">
      <c r="A8" s="74">
        <f>+A7+5%</f>
        <v>1.05</v>
      </c>
      <c r="B8" s="75">
        <f>+$B$7*A8</f>
        <v>79541444809883.703</v>
      </c>
      <c r="C8" s="76">
        <f>+'CEV 2026'!$C$95/(B8+('CEV 2026'!$C$86*'CEV 2026'!$C$91)+('CEV 2026'!$C$87*'CEV 2026'!$C$92))</f>
        <v>9.9374813685045092E-4</v>
      </c>
      <c r="D8" s="77">
        <f t="shared" ref="D8:D12" si="7">+(C8-$C$7)/$C$7</f>
        <v>-4.166329692719873E-2</v>
      </c>
      <c r="E8" s="76">
        <f>+C8*'CEV 2026'!$C$91</f>
        <v>7.4346331792476798E-4</v>
      </c>
      <c r="F8" s="76">
        <f>+C8*'CEV 2026'!$C$92</f>
        <v>2.5028481892568289E-4</v>
      </c>
      <c r="H8" s="74">
        <f>+H7+5%</f>
        <v>1.05</v>
      </c>
      <c r="I8" s="75">
        <f>+$I$7*H8</f>
        <v>1771208338150.6501</v>
      </c>
      <c r="J8" s="76">
        <f>+'CEV 2026'!$C$95/('CEV 2026'!$C$85+(I8*'CEV 2026'!$C$91)+('CEV 2026'!$C$87*'CEV 2026'!$C$92))</f>
        <v>1.0362004521687093E-3</v>
      </c>
      <c r="K8" s="77">
        <f t="shared" si="5"/>
        <v>-7.2373649808651246E-4</v>
      </c>
      <c r="L8" s="76">
        <f>+J8*'CEV 2026'!$C$91</f>
        <v>7.7522361817562583E-4</v>
      </c>
      <c r="M8" s="76">
        <f>+J8*'CEV 2026'!$C$92</f>
        <v>2.6097683399308347E-4</v>
      </c>
      <c r="O8" s="74">
        <f>+O7+5%</f>
        <v>1.05</v>
      </c>
      <c r="P8" s="75">
        <f>+$P$7*O8</f>
        <v>42141859591726.648</v>
      </c>
      <c r="Q8" s="76">
        <f>+'CEV 2026'!$C$95/('CEV 2026'!$C$85+('CEV 2026'!$C$86*'CEV 2026'!$C$91)+('Análisis Sens'!P8*'CEV 2026'!$C$92))</f>
        <v>1.0309701215828727E-3</v>
      </c>
      <c r="R8" s="77">
        <f t="shared" si="6"/>
        <v>-5.7676883644997672E-3</v>
      </c>
      <c r="S8" s="76">
        <f>+Q8*'CEV 2026'!$C$91</f>
        <v>7.7131059556255824E-4</v>
      </c>
      <c r="T8" s="76">
        <f>+Q8*'CEV 2026'!$C$92</f>
        <v>2.596595260203143E-4</v>
      </c>
    </row>
    <row r="9" spans="1:20" x14ac:dyDescent="0.25">
      <c r="A9" s="74">
        <f t="shared" ref="A9:A12" si="8">+A8+5%</f>
        <v>1.1000000000000001</v>
      </c>
      <c r="B9" s="75">
        <f t="shared" ref="B9:B12" si="9">+$B$7*A9</f>
        <v>83329132657973.406</v>
      </c>
      <c r="C9" s="76">
        <f>+'CEV 2026'!$C$95/(B9+('CEV 2026'!$C$86*'CEV 2026'!$C$91)+('CEV 2026'!$C$87*'CEV 2026'!$C$92))</f>
        <v>9.5400129752282474E-4</v>
      </c>
      <c r="D9" s="77">
        <f t="shared" si="7"/>
        <v>-7.9993788876119909E-2</v>
      </c>
      <c r="E9" s="76">
        <f>+C9*'CEV 2026'!$C$91</f>
        <v>7.1372709407916128E-4</v>
      </c>
      <c r="F9" s="76">
        <f>+C9*'CEV 2026'!$C$92</f>
        <v>2.402742034436634E-4</v>
      </c>
      <c r="H9" s="74">
        <f t="shared" ref="H9:H12" si="10">+H8+5%</f>
        <v>1.1000000000000001</v>
      </c>
      <c r="I9" s="75">
        <f>+$I$7*H9</f>
        <v>1855551592348.3</v>
      </c>
      <c r="J9" s="76">
        <f>+'CEV 2026'!$C$95/('CEV 2026'!$C$85+(I9*'CEV 2026'!$C$91)+('CEV 2026'!$C$87*'CEV 2026'!$C$92))</f>
        <v>1.0354510584457302E-3</v>
      </c>
      <c r="K9" s="77">
        <f t="shared" si="5"/>
        <v>-1.4464261647654329E-3</v>
      </c>
      <c r="L9" s="76">
        <f>+J9*'CEV 2026'!$C$91</f>
        <v>7.7466296631318926E-4</v>
      </c>
      <c r="M9" s="76">
        <f>+J9*'CEV 2026'!$C$92</f>
        <v>2.6078809213254088E-4</v>
      </c>
      <c r="O9" s="74">
        <f t="shared" ref="O9:O12" si="11">+O8+5%</f>
        <v>1.1000000000000001</v>
      </c>
      <c r="P9" s="75">
        <f>+$P$7*O9</f>
        <v>44148614810380.305</v>
      </c>
      <c r="Q9" s="76">
        <f>+'CEV 2026'!$C$95/('CEV 2026'!$C$85+('CEV 2026'!$C$86*'CEV 2026'!$C$91)+('Análisis Sens'!P9*'CEV 2026'!$C$92))</f>
        <v>1.0250579070196172E-3</v>
      </c>
      <c r="R9" s="77">
        <f t="shared" si="6"/>
        <v>-1.1469225808752507E-2</v>
      </c>
      <c r="S9" s="76">
        <f>+Q9*'CEV 2026'!$C$91</f>
        <v>7.6688742786796312E-4</v>
      </c>
      <c r="T9" s="76">
        <f>+Q9*'CEV 2026'!$C$92</f>
        <v>2.5817047915165401E-4</v>
      </c>
    </row>
    <row r="10" spans="1:20" x14ac:dyDescent="0.25">
      <c r="A10" s="74">
        <f t="shared" si="8"/>
        <v>1.1500000000000001</v>
      </c>
      <c r="B10" s="75">
        <f t="shared" si="9"/>
        <v>87116820506063.109</v>
      </c>
      <c r="C10" s="76">
        <f>+'CEV 2026'!$C$95/(B10+('CEV 2026'!$C$86*'CEV 2026'!$C$91)+('CEV 2026'!$C$87*'CEV 2026'!$C$92))</f>
        <v>9.1731167912602178E-4</v>
      </c>
      <c r="D10" s="77">
        <f t="shared" si="7"/>
        <v>-0.1153760015591337</v>
      </c>
      <c r="E10" s="76">
        <f>+C10*'CEV 2026'!$C$91</f>
        <v>6.8627810130607021E-4</v>
      </c>
      <c r="F10" s="76">
        <f>+C10*'CEV 2026'!$C$92</f>
        <v>2.3103357781995151E-4</v>
      </c>
      <c r="H10" s="74">
        <f t="shared" si="10"/>
        <v>1.1500000000000001</v>
      </c>
      <c r="I10" s="75">
        <f>+$I$7*H10</f>
        <v>1939894846545.9502</v>
      </c>
      <c r="J10" s="76">
        <f>+'CEV 2026'!$C$95/('CEV 2026'!$C$85+(I10*'CEV 2026'!$C$91)+('CEV 2026'!$C$87*'CEV 2026'!$C$92))</f>
        <v>1.0347027478820844E-3</v>
      </c>
      <c r="K10" s="77">
        <f t="shared" si="5"/>
        <v>-2.1680712696425628E-3</v>
      </c>
      <c r="L10" s="76">
        <f>+J10*'CEV 2026'!$C$91</f>
        <v>7.7410312480621587E-4</v>
      </c>
      <c r="M10" s="76">
        <f>+J10*'CEV 2026'!$C$92</f>
        <v>2.6059962307586838E-4</v>
      </c>
      <c r="O10" s="74">
        <f t="shared" si="11"/>
        <v>1.1500000000000001</v>
      </c>
      <c r="P10" s="75">
        <f>+$P$7*O10</f>
        <v>46155370029033.953</v>
      </c>
      <c r="Q10" s="76">
        <f>+'CEV 2026'!$C$95/('CEV 2026'!$C$85+('CEV 2026'!$C$86*'CEV 2026'!$C$91)+('Análisis Sens'!P10*'CEV 2026'!$C$92))</f>
        <v>1.0192131143418033E-3</v>
      </c>
      <c r="R10" s="77">
        <f t="shared" si="6"/>
        <v>-1.7105743893458241E-2</v>
      </c>
      <c r="S10" s="76">
        <f>+Q10*'CEV 2026'!$C$91</f>
        <v>7.6251470122255577E-4</v>
      </c>
      <c r="T10" s="76">
        <f>+Q10*'CEV 2026'!$C$92</f>
        <v>2.566984131192475E-4</v>
      </c>
    </row>
    <row r="11" spans="1:20" x14ac:dyDescent="0.25">
      <c r="A11" s="74">
        <f t="shared" si="8"/>
        <v>1.2000000000000002</v>
      </c>
      <c r="B11" s="75">
        <f t="shared" si="9"/>
        <v>90904508354152.813</v>
      </c>
      <c r="C11" s="76">
        <f>+'CEV 2026'!$C$95/(B11+('CEV 2026'!$C$86*'CEV 2026'!$C$91)+('CEV 2026'!$C$87*'CEV 2026'!$C$92))</f>
        <v>8.833396148653712E-4</v>
      </c>
      <c r="D11" s="77">
        <f t="shared" si="7"/>
        <v>-0.14813749801165854</v>
      </c>
      <c r="E11" s="76">
        <f>+C11*'CEV 2026'!$C$91</f>
        <v>6.6086222108915199E-4</v>
      </c>
      <c r="F11" s="76">
        <f>+C11*'CEV 2026'!$C$92</f>
        <v>2.2247739377621913E-4</v>
      </c>
      <c r="H11" s="74">
        <f t="shared" si="10"/>
        <v>1.2000000000000002</v>
      </c>
      <c r="I11" s="75">
        <f>+$I$7*H11</f>
        <v>2024238100743.6003</v>
      </c>
      <c r="J11" s="76">
        <f>+'CEV 2026'!$C$95/('CEV 2026'!$C$85+(I11*'CEV 2026'!$C$91)+('CEV 2026'!$C$87*'CEV 2026'!$C$92))</f>
        <v>1.0339555181311019E-3</v>
      </c>
      <c r="K11" s="77">
        <f t="shared" si="5"/>
        <v>-2.8886740757661129E-3</v>
      </c>
      <c r="L11" s="76">
        <f>+J11*'CEV 2026'!$C$91</f>
        <v>7.7354409189906673E-4</v>
      </c>
      <c r="M11" s="76">
        <f>+J11*'CEV 2026'!$C$92</f>
        <v>2.6041142623203502E-4</v>
      </c>
      <c r="O11" s="74">
        <f t="shared" si="11"/>
        <v>1.2000000000000002</v>
      </c>
      <c r="P11" s="75">
        <f>+$P$7*O11</f>
        <v>48162125247687.609</v>
      </c>
      <c r="Q11" s="76">
        <f>+'CEV 2026'!$C$95/('CEV 2026'!$C$85+('CEV 2026'!$C$86*'CEV 2026'!$C$91)+('Análisis Sens'!P11*'CEV 2026'!$C$92))</f>
        <v>1.013434596786669E-3</v>
      </c>
      <c r="R11" s="77">
        <f t="shared" si="6"/>
        <v>-2.2678348517389296E-2</v>
      </c>
      <c r="S11" s="76">
        <f>+Q11*'CEV 2026'!$C$91</f>
        <v>7.5819155768656627E-4</v>
      </c>
      <c r="T11" s="76">
        <f>+Q11*'CEV 2026'!$C$92</f>
        <v>2.5524303910010276E-4</v>
      </c>
    </row>
    <row r="12" spans="1:20" x14ac:dyDescent="0.25">
      <c r="A12" s="74">
        <f t="shared" si="8"/>
        <v>1.2500000000000002</v>
      </c>
      <c r="B12" s="75">
        <f t="shared" si="9"/>
        <v>94692196202242.516</v>
      </c>
      <c r="C12" s="76">
        <f>+'CEV 2026'!$C$95/(B12+('CEV 2026'!$C$86*'CEV 2026'!$C$91)+('CEV 2026'!$C$87*'CEV 2026'!$C$92))</f>
        <v>8.5179395841028461E-4</v>
      </c>
      <c r="D12" s="77">
        <f t="shared" si="7"/>
        <v>-0.17855904979363127</v>
      </c>
      <c r="E12" s="76">
        <f>+C12*'CEV 2026'!$C$91</f>
        <v>6.3726163504071443E-4</v>
      </c>
      <c r="F12" s="76">
        <f>+C12*'CEV 2026'!$C$92</f>
        <v>2.1453232336957008E-4</v>
      </c>
      <c r="H12" s="74">
        <f t="shared" si="10"/>
        <v>1.2500000000000002</v>
      </c>
      <c r="I12" s="75">
        <f>+$I$7*H12</f>
        <v>2108581354941.2505</v>
      </c>
      <c r="J12" s="76">
        <f>+'CEV 2026'!$C$95/('CEV 2026'!$C$85+(I12*'CEV 2026'!$C$91)+('CEV 2026'!$C$87*'CEV 2026'!$C$92))</f>
        <v>1.0332093668528851E-3</v>
      </c>
      <c r="K12" s="77">
        <f t="shared" si="5"/>
        <v>-3.6082368396532622E-3</v>
      </c>
      <c r="L12" s="76">
        <f>+J12*'CEV 2026'!$C$91</f>
        <v>7.729858658411695E-4</v>
      </c>
      <c r="M12" s="76">
        <f>+J12*'CEV 2026'!$C$92</f>
        <v>2.6022350101171559E-4</v>
      </c>
      <c r="O12" s="74">
        <f t="shared" si="11"/>
        <v>1.2500000000000002</v>
      </c>
      <c r="P12" s="75">
        <f>+$P$7*O12</f>
        <v>50168880466341.258</v>
      </c>
      <c r="Q12" s="76">
        <f>+'CEV 2026'!$C$95/('CEV 2026'!$C$85+('CEV 2026'!$C$86*'CEV 2026'!$C$91)+('Análisis Sens'!P12*'CEV 2026'!$C$92))</f>
        <v>1.0077212334515223E-3</v>
      </c>
      <c r="R12" s="77">
        <f t="shared" si="6"/>
        <v>-2.8188120640751331E-2</v>
      </c>
      <c r="S12" s="76">
        <f>+Q12*'CEV 2026'!$C$91</f>
        <v>7.5391715866719266E-4</v>
      </c>
      <c r="T12" s="76">
        <f>+Q12*'CEV 2026'!$C$92</f>
        <v>2.5380407478432961E-4</v>
      </c>
    </row>
    <row r="13" spans="1:20" x14ac:dyDescent="0.25">
      <c r="A13" s="83"/>
      <c r="H13" s="84"/>
    </row>
    <row r="15" spans="1:20" s="85" customFormat="1" ht="27" x14ac:dyDescent="0.25">
      <c r="A15" s="71" t="s">
        <v>323</v>
      </c>
      <c r="B15" s="71" t="s">
        <v>331</v>
      </c>
      <c r="C15" s="71" t="s">
        <v>325</v>
      </c>
      <c r="D15" s="71" t="s">
        <v>326</v>
      </c>
      <c r="E15" s="71" t="s">
        <v>327</v>
      </c>
      <c r="F15" s="71" t="s">
        <v>328</v>
      </c>
      <c r="H15" s="71" t="s">
        <v>323</v>
      </c>
      <c r="I15" s="71" t="s">
        <v>332</v>
      </c>
      <c r="J15" s="71" t="s">
        <v>325</v>
      </c>
      <c r="K15" s="71" t="s">
        <v>326</v>
      </c>
      <c r="L15" s="71" t="s">
        <v>327</v>
      </c>
      <c r="M15" s="71" t="s">
        <v>328</v>
      </c>
      <c r="O15" s="71" t="s">
        <v>323</v>
      </c>
      <c r="P15" s="71" t="s">
        <v>333</v>
      </c>
      <c r="Q15" s="71" t="s">
        <v>325</v>
      </c>
      <c r="R15" s="71" t="s">
        <v>326</v>
      </c>
      <c r="S15" s="71" t="s">
        <v>327</v>
      </c>
      <c r="T15" s="71" t="s">
        <v>328</v>
      </c>
    </row>
    <row r="16" spans="1:20" x14ac:dyDescent="0.25">
      <c r="A16" s="74">
        <f t="shared" ref="A16:A19" si="12">+A17-5%</f>
        <v>0.74999999999999978</v>
      </c>
      <c r="B16" s="75">
        <f t="shared" ref="B16:B19" si="13">+$B$21*A16</f>
        <v>53725726857.749985</v>
      </c>
      <c r="C16" s="86" t="e">
        <f>+(B16+'CEV 2026'!#REF!-'CEV 2026'!$D$80)/('CEV 2026'!$C$85+('CEV 2026'!$C$86*'CEV 2026'!$C$91)+('CEV 2026'!$C$87*'CEV 2026'!$C$92))</f>
        <v>#REF!</v>
      </c>
      <c r="D16" s="77" t="e">
        <f>+(C16-$C$21)/$C$21</f>
        <v>#REF!</v>
      </c>
      <c r="E16" s="76" t="e">
        <f>+C16*'CEV 2026'!$C$91</f>
        <v>#REF!</v>
      </c>
      <c r="F16" s="76" t="e">
        <f>+C16*'CEV 2026'!$C$92</f>
        <v>#REF!</v>
      </c>
      <c r="H16" s="74">
        <f t="shared" ref="H16:H19" si="14">+H17-5%</f>
        <v>0.74999999999999978</v>
      </c>
      <c r="I16" s="75" t="e">
        <f t="shared" ref="I16:I19" si="15">+$I$21*H16</f>
        <v>#REF!</v>
      </c>
      <c r="J16" s="86" t="e">
        <f>+('CEV 2026'!$D$79+'Análisis Sens'!I16-'CEV 2026'!$D$80)/('CEV 2026'!$C$85+('CEV 2026'!$C$86*'CEV 2026'!$C$91)+('CEV 2026'!$C$87*'CEV 2026'!$C$92))</f>
        <v>#REF!</v>
      </c>
      <c r="K16" s="77" t="e">
        <f>+(J16-$J$21)/$J$21</f>
        <v>#REF!</v>
      </c>
      <c r="L16" s="76" t="e">
        <f>+J16*'CEV 2026'!$C$91</f>
        <v>#REF!</v>
      </c>
      <c r="M16" s="76" t="e">
        <f>+J16*'CEV 2026'!$C$92</f>
        <v>#REF!</v>
      </c>
      <c r="O16" s="74">
        <f t="shared" ref="O16:O19" si="16">+O17-5%</f>
        <v>0.74999999999999978</v>
      </c>
      <c r="P16" s="75">
        <f t="shared" ref="P16:P19" si="17">+$P$21*O16</f>
        <v>30464249999.999992</v>
      </c>
      <c r="Q16" s="86" t="e">
        <f>+('CEV 2026'!$D$79+'CEV 2026'!#REF!-P16)/('CEV 2026'!$C$85+('CEV 2026'!$C$86*'CEV 2026'!$C$91)+('CEV 2026'!$C$87*'CEV 2026'!$C$92))</f>
        <v>#REF!</v>
      </c>
      <c r="R16" s="77" t="e">
        <f>+(Q16-$Q$21)/$Q$21</f>
        <v>#REF!</v>
      </c>
      <c r="S16" s="76" t="e">
        <f>+Q16*'CEV 2026'!$C$91</f>
        <v>#REF!</v>
      </c>
      <c r="T16" s="76" t="e">
        <f>+Q16*'CEV 2026'!$C$92</f>
        <v>#REF!</v>
      </c>
    </row>
    <row r="17" spans="1:20" x14ac:dyDescent="0.25">
      <c r="A17" s="74">
        <f t="shared" si="12"/>
        <v>0.79999999999999982</v>
      </c>
      <c r="B17" s="75">
        <f t="shared" si="13"/>
        <v>57307441981.599991</v>
      </c>
      <c r="C17" s="86" t="e">
        <f>+(B17+'CEV 2026'!#REF!-'CEV 2026'!$D$80)/('CEV 2026'!$C$85+('CEV 2026'!$C$86*'CEV 2026'!$C$91)+('CEV 2026'!$C$87*'CEV 2026'!$C$92))</f>
        <v>#REF!</v>
      </c>
      <c r="D17" s="77" t="e">
        <f t="shared" ref="D17:D26" si="18">+(C17-$C$21)/$C$21</f>
        <v>#REF!</v>
      </c>
      <c r="E17" s="76" t="e">
        <f>+C17*'CEV 2026'!$C$91</f>
        <v>#REF!</v>
      </c>
      <c r="F17" s="76" t="e">
        <f>+C17*'CEV 2026'!$C$92</f>
        <v>#REF!</v>
      </c>
      <c r="H17" s="74">
        <f t="shared" si="14"/>
        <v>0.79999999999999982</v>
      </c>
      <c r="I17" s="75" t="e">
        <f t="shared" si="15"/>
        <v>#REF!</v>
      </c>
      <c r="J17" s="86" t="e">
        <f>+('CEV 2026'!$D$79+'Análisis Sens'!I17-'CEV 2026'!$D$80)/('CEV 2026'!$C$85+('CEV 2026'!$C$86*'CEV 2026'!$C$91)+('CEV 2026'!$C$87*'CEV 2026'!$C$92))</f>
        <v>#REF!</v>
      </c>
      <c r="K17" s="77" t="e">
        <f t="shared" ref="K17:K26" si="19">+(J17-$J$21)/$J$21</f>
        <v>#REF!</v>
      </c>
      <c r="L17" s="76" t="e">
        <f>+J17*'CEV 2026'!$C$91</f>
        <v>#REF!</v>
      </c>
      <c r="M17" s="76" t="e">
        <f>+J17*'CEV 2026'!$C$92</f>
        <v>#REF!</v>
      </c>
      <c r="O17" s="74">
        <f t="shared" si="16"/>
        <v>0.79999999999999982</v>
      </c>
      <c r="P17" s="75">
        <f t="shared" si="17"/>
        <v>32495199999.999992</v>
      </c>
      <c r="Q17" s="86" t="e">
        <f>+('CEV 2026'!$D$79+'CEV 2026'!#REF!-P17)/('CEV 2026'!$C$85+('CEV 2026'!$C$86*'CEV 2026'!$C$91)+('CEV 2026'!$C$87*'CEV 2026'!$C$92))</f>
        <v>#REF!</v>
      </c>
      <c r="R17" s="77" t="e">
        <f t="shared" ref="R17:R26" si="20">+(Q17-$Q$21)/$Q$21</f>
        <v>#REF!</v>
      </c>
      <c r="S17" s="76" t="e">
        <f>+Q17*'CEV 2026'!$C$91</f>
        <v>#REF!</v>
      </c>
      <c r="T17" s="76" t="e">
        <f>+Q17*'CEV 2026'!$C$92</f>
        <v>#REF!</v>
      </c>
    </row>
    <row r="18" spans="1:20" x14ac:dyDescent="0.25">
      <c r="A18" s="74">
        <f t="shared" si="12"/>
        <v>0.84999999999999987</v>
      </c>
      <c r="B18" s="75">
        <f t="shared" si="13"/>
        <v>60889157105.449989</v>
      </c>
      <c r="C18" s="86" t="e">
        <f>+(B18+'CEV 2026'!#REF!-'CEV 2026'!$D$80)/('CEV 2026'!$C$85+('CEV 2026'!$C$86*'CEV 2026'!$C$91)+('CEV 2026'!$C$87*'CEV 2026'!$C$92))</f>
        <v>#REF!</v>
      </c>
      <c r="D18" s="77" t="e">
        <f t="shared" si="18"/>
        <v>#REF!</v>
      </c>
      <c r="E18" s="76" t="e">
        <f>+C18*'CEV 2026'!$C$91</f>
        <v>#REF!</v>
      </c>
      <c r="F18" s="76" t="e">
        <f>+C18*'CEV 2026'!$C$92</f>
        <v>#REF!</v>
      </c>
      <c r="H18" s="74">
        <f t="shared" si="14"/>
        <v>0.84999999999999987</v>
      </c>
      <c r="I18" s="75" t="e">
        <f t="shared" si="15"/>
        <v>#REF!</v>
      </c>
      <c r="J18" s="86" t="e">
        <f>+('CEV 2026'!$D$79+'Análisis Sens'!I18-'CEV 2026'!$D$80)/('CEV 2026'!$C$85+('CEV 2026'!$C$86*'CEV 2026'!$C$91)+('CEV 2026'!$C$87*'CEV 2026'!$C$92))</f>
        <v>#REF!</v>
      </c>
      <c r="K18" s="77" t="e">
        <f t="shared" si="19"/>
        <v>#REF!</v>
      </c>
      <c r="L18" s="76" t="e">
        <f>+J18*'CEV 2026'!$C$91</f>
        <v>#REF!</v>
      </c>
      <c r="M18" s="76" t="e">
        <f>+J18*'CEV 2026'!$C$92</f>
        <v>#REF!</v>
      </c>
      <c r="O18" s="74">
        <f t="shared" si="16"/>
        <v>0.84999999999999987</v>
      </c>
      <c r="P18" s="75">
        <f t="shared" si="17"/>
        <v>34526149999.999992</v>
      </c>
      <c r="Q18" s="86" t="e">
        <f>+('CEV 2026'!$D$79+'CEV 2026'!#REF!-P18)/('CEV 2026'!$C$85+('CEV 2026'!$C$86*'CEV 2026'!$C$91)+('CEV 2026'!$C$87*'CEV 2026'!$C$92))</f>
        <v>#REF!</v>
      </c>
      <c r="R18" s="77" t="e">
        <f t="shared" si="20"/>
        <v>#REF!</v>
      </c>
      <c r="S18" s="76" t="e">
        <f>+Q18*'CEV 2026'!$C$91</f>
        <v>#REF!</v>
      </c>
      <c r="T18" s="76" t="e">
        <f>+Q18*'CEV 2026'!$C$92</f>
        <v>#REF!</v>
      </c>
    </row>
    <row r="19" spans="1:20" x14ac:dyDescent="0.25">
      <c r="A19" s="74">
        <f t="shared" si="12"/>
        <v>0.89999999999999991</v>
      </c>
      <c r="B19" s="75">
        <f t="shared" si="13"/>
        <v>64470872229.299995</v>
      </c>
      <c r="C19" s="86" t="e">
        <f>+(B19+'CEV 2026'!#REF!-'CEV 2026'!$D$80)/('CEV 2026'!$C$85+('CEV 2026'!$C$86*'CEV 2026'!$C$91)+('CEV 2026'!$C$87*'CEV 2026'!$C$92))</f>
        <v>#REF!</v>
      </c>
      <c r="D19" s="77" t="e">
        <f t="shared" si="18"/>
        <v>#REF!</v>
      </c>
      <c r="E19" s="76" t="e">
        <f>+C19*'CEV 2026'!$C$91</f>
        <v>#REF!</v>
      </c>
      <c r="F19" s="76" t="e">
        <f>+C19*'CEV 2026'!$C$92</f>
        <v>#REF!</v>
      </c>
      <c r="H19" s="74">
        <f t="shared" si="14"/>
        <v>0.89999999999999991</v>
      </c>
      <c r="I19" s="75" t="e">
        <f t="shared" si="15"/>
        <v>#REF!</v>
      </c>
      <c r="J19" s="86" t="e">
        <f>+('CEV 2026'!$D$79+'Análisis Sens'!I19-'CEV 2026'!$D$80)/('CEV 2026'!$C$85+('CEV 2026'!$C$86*'CEV 2026'!$C$91)+('CEV 2026'!$C$87*'CEV 2026'!$C$92))</f>
        <v>#REF!</v>
      </c>
      <c r="K19" s="77" t="e">
        <f t="shared" si="19"/>
        <v>#REF!</v>
      </c>
      <c r="L19" s="76" t="e">
        <f>+J19*'CEV 2026'!$C$91</f>
        <v>#REF!</v>
      </c>
      <c r="M19" s="76" t="e">
        <f>+J19*'CEV 2026'!$C$92</f>
        <v>#REF!</v>
      </c>
      <c r="O19" s="74">
        <f t="shared" si="16"/>
        <v>0.89999999999999991</v>
      </c>
      <c r="P19" s="75">
        <f t="shared" si="17"/>
        <v>36557100000</v>
      </c>
      <c r="Q19" s="86" t="e">
        <f>+('CEV 2026'!$D$79+'CEV 2026'!#REF!-P19)/('CEV 2026'!$C$85+('CEV 2026'!$C$86*'CEV 2026'!$C$91)+('CEV 2026'!$C$87*'CEV 2026'!$C$92))</f>
        <v>#REF!</v>
      </c>
      <c r="R19" s="77" t="e">
        <f t="shared" si="20"/>
        <v>#REF!</v>
      </c>
      <c r="S19" s="76" t="e">
        <f>+Q19*'CEV 2026'!$C$91</f>
        <v>#REF!</v>
      </c>
      <c r="T19" s="76" t="e">
        <f>+Q19*'CEV 2026'!$C$92</f>
        <v>#REF!</v>
      </c>
    </row>
    <row r="20" spans="1:20" x14ac:dyDescent="0.25">
      <c r="A20" s="74">
        <f>+A21-5%</f>
        <v>0.95</v>
      </c>
      <c r="B20" s="75">
        <f>+$B$21*A20</f>
        <v>68052587353.149994</v>
      </c>
      <c r="C20" s="86" t="e">
        <f>+(B20+'CEV 2026'!#REF!-'CEV 2026'!$D$80)/('CEV 2026'!$C$85+('CEV 2026'!$C$86*'CEV 2026'!$C$91)+('CEV 2026'!$C$87*'CEV 2026'!$C$92))</f>
        <v>#REF!</v>
      </c>
      <c r="D20" s="77" t="e">
        <f t="shared" si="18"/>
        <v>#REF!</v>
      </c>
      <c r="E20" s="76" t="e">
        <f>+C20*'CEV 2026'!$C$91</f>
        <v>#REF!</v>
      </c>
      <c r="F20" s="76" t="e">
        <f>+C20*'CEV 2026'!$C$92</f>
        <v>#REF!</v>
      </c>
      <c r="H20" s="74">
        <f>+H21-5%</f>
        <v>0.95</v>
      </c>
      <c r="I20" s="75" t="e">
        <f>+$I$21*H20</f>
        <v>#REF!</v>
      </c>
      <c r="J20" s="86" t="e">
        <f>+('CEV 2026'!$D$79+'Análisis Sens'!I20-'CEV 2026'!$D$80)/('CEV 2026'!$C$85+('CEV 2026'!$C$86*'CEV 2026'!$C$91)+('CEV 2026'!$C$87*'CEV 2026'!$C$92))</f>
        <v>#REF!</v>
      </c>
      <c r="K20" s="77" t="e">
        <f t="shared" si="19"/>
        <v>#REF!</v>
      </c>
      <c r="L20" s="76" t="e">
        <f>+J20*'CEV 2026'!$C$91</f>
        <v>#REF!</v>
      </c>
      <c r="M20" s="76" t="e">
        <f>+J20*'CEV 2026'!$C$92</f>
        <v>#REF!</v>
      </c>
      <c r="O20" s="74">
        <f>+O21-5%</f>
        <v>0.95</v>
      </c>
      <c r="P20" s="75">
        <f>+$P$21*O20</f>
        <v>38588050000</v>
      </c>
      <c r="Q20" s="86" t="e">
        <f>+('CEV 2026'!$D$79+'CEV 2026'!#REF!-P20)/('CEV 2026'!$C$85+('CEV 2026'!$C$86*'CEV 2026'!$C$91)+('CEV 2026'!$C$87*'CEV 2026'!$C$92))</f>
        <v>#REF!</v>
      </c>
      <c r="R20" s="77" t="e">
        <f t="shared" si="20"/>
        <v>#REF!</v>
      </c>
      <c r="S20" s="76" t="e">
        <f>+Q20*'CEV 2026'!$C$91</f>
        <v>#REF!</v>
      </c>
      <c r="T20" s="76" t="e">
        <f>+Q20*'CEV 2026'!$C$92</f>
        <v>#REF!</v>
      </c>
    </row>
    <row r="21" spans="1:20" x14ac:dyDescent="0.25">
      <c r="A21" s="79">
        <v>1</v>
      </c>
      <c r="B21" s="80">
        <f>+'CEV 2026'!D79</f>
        <v>71634302477</v>
      </c>
      <c r="C21" s="81" t="e">
        <f>+(B21+'CEV 2026'!#REF!-'CEV 2026'!$D$80)/('CEV 2026'!$C$85+('CEV 2026'!$C$86*'CEV 2026'!$C$91)+('CEV 2026'!$C$87*'CEV 2026'!$C$92))</f>
        <v>#REF!</v>
      </c>
      <c r="D21" s="82" t="e">
        <f t="shared" si="18"/>
        <v>#REF!</v>
      </c>
      <c r="E21" s="81" t="e">
        <f>+C21*'CEV 2026'!$C$91</f>
        <v>#REF!</v>
      </c>
      <c r="F21" s="81" t="e">
        <f>+C21*'CEV 2026'!$C$92</f>
        <v>#REF!</v>
      </c>
      <c r="H21" s="79">
        <v>1</v>
      </c>
      <c r="I21" s="80" t="e">
        <f>+'CEV 2026'!#REF!</f>
        <v>#REF!</v>
      </c>
      <c r="J21" s="81" t="e">
        <f>+('CEV 2026'!$D$79+'Análisis Sens'!I21-'CEV 2026'!$D$80)/('CEV 2026'!$C$85+('CEV 2026'!$C$86*'CEV 2026'!$C$91)+('CEV 2026'!$C$87*'CEV 2026'!$C$92))</f>
        <v>#REF!</v>
      </c>
      <c r="K21" s="82" t="e">
        <f t="shared" si="19"/>
        <v>#REF!</v>
      </c>
      <c r="L21" s="81" t="e">
        <f>+J21*'CEV 2026'!$C$91</f>
        <v>#REF!</v>
      </c>
      <c r="M21" s="81" t="e">
        <f>+J21*'CEV 2026'!$C$92</f>
        <v>#REF!</v>
      </c>
      <c r="O21" s="79">
        <v>1</v>
      </c>
      <c r="P21" s="80">
        <f>+'CEV 2026'!D80</f>
        <v>40619000000</v>
      </c>
      <c r="Q21" s="81" t="e">
        <f>+('CEV 2026'!$D$79+'CEV 2026'!#REF!-P21)/('CEV 2026'!$C$85+('CEV 2026'!$C$86*'CEV 2026'!$C$91)+('CEV 2026'!$C$87*'CEV 2026'!$C$92))</f>
        <v>#REF!</v>
      </c>
      <c r="R21" s="82" t="e">
        <f t="shared" si="20"/>
        <v>#REF!</v>
      </c>
      <c r="S21" s="81" t="e">
        <f>+Q21*'CEV 2026'!$C$91</f>
        <v>#REF!</v>
      </c>
      <c r="T21" s="81" t="e">
        <f>+Q21*'CEV 2026'!$C$92</f>
        <v>#REF!</v>
      </c>
    </row>
    <row r="22" spans="1:20" x14ac:dyDescent="0.25">
      <c r="A22" s="74">
        <f>+A21+5%</f>
        <v>1.05</v>
      </c>
      <c r="B22" s="75">
        <f>+$B$21*A22</f>
        <v>75216017600.850006</v>
      </c>
      <c r="C22" s="86" t="e">
        <f>+(B22+'CEV 2026'!#REF!-'CEV 2026'!$D$80)/('CEV 2026'!$C$85+('CEV 2026'!$C$86*'CEV 2026'!$C$91)+('CEV 2026'!$C$87*'CEV 2026'!$C$92))</f>
        <v>#REF!</v>
      </c>
      <c r="D22" s="77" t="e">
        <f t="shared" si="18"/>
        <v>#REF!</v>
      </c>
      <c r="E22" s="76" t="e">
        <f>+C22*'CEV 2026'!$C$91</f>
        <v>#REF!</v>
      </c>
      <c r="F22" s="76" t="e">
        <f>+C22*'CEV 2026'!$C$92</f>
        <v>#REF!</v>
      </c>
      <c r="H22" s="74">
        <f>+H21+5%</f>
        <v>1.05</v>
      </c>
      <c r="I22" s="75" t="e">
        <f>+$I$21*H22</f>
        <v>#REF!</v>
      </c>
      <c r="J22" s="86" t="e">
        <f>+('CEV 2026'!$D$79+'Análisis Sens'!I22-'CEV 2026'!$D$80)/('CEV 2026'!$C$85+('CEV 2026'!$C$86*'CEV 2026'!$C$91)+('CEV 2026'!$C$87*'CEV 2026'!$C$92))</f>
        <v>#REF!</v>
      </c>
      <c r="K22" s="77" t="e">
        <f t="shared" si="19"/>
        <v>#REF!</v>
      </c>
      <c r="L22" s="76" t="e">
        <f>+J22*'CEV 2026'!$C$91</f>
        <v>#REF!</v>
      </c>
      <c r="M22" s="76" t="e">
        <f>+J22*'CEV 2026'!$C$92</f>
        <v>#REF!</v>
      </c>
      <c r="O22" s="74">
        <f>+O21+5%</f>
        <v>1.05</v>
      </c>
      <c r="P22" s="75">
        <f>+$P$21*O22</f>
        <v>42649950000</v>
      </c>
      <c r="Q22" s="86" t="e">
        <f>+('CEV 2026'!$D$79+'CEV 2026'!#REF!-P22)/('CEV 2026'!$C$85+('CEV 2026'!$C$86*'CEV 2026'!$C$91)+('CEV 2026'!$C$87*'CEV 2026'!$C$92))</f>
        <v>#REF!</v>
      </c>
      <c r="R22" s="77" t="e">
        <f t="shared" si="20"/>
        <v>#REF!</v>
      </c>
      <c r="S22" s="76" t="e">
        <f>+Q22*'CEV 2026'!$C$91</f>
        <v>#REF!</v>
      </c>
      <c r="T22" s="76" t="e">
        <f>+Q22*'CEV 2026'!$C$92</f>
        <v>#REF!</v>
      </c>
    </row>
    <row r="23" spans="1:20" x14ac:dyDescent="0.25">
      <c r="A23" s="74">
        <f t="shared" ref="A23:A26" si="21">+A22+5%</f>
        <v>1.1000000000000001</v>
      </c>
      <c r="B23" s="75">
        <f t="shared" ref="B23:B26" si="22">+$B$21*A23</f>
        <v>78797732724.700012</v>
      </c>
      <c r="C23" s="86" t="e">
        <f>+(B23+'CEV 2026'!#REF!-'CEV 2026'!$D$80)/('CEV 2026'!$C$85+('CEV 2026'!$C$86*'CEV 2026'!$C$91)+('CEV 2026'!$C$87*'CEV 2026'!$C$92))</f>
        <v>#REF!</v>
      </c>
      <c r="D23" s="77" t="e">
        <f t="shared" si="18"/>
        <v>#REF!</v>
      </c>
      <c r="E23" s="76" t="e">
        <f>+C23*'CEV 2026'!$C$91</f>
        <v>#REF!</v>
      </c>
      <c r="F23" s="76" t="e">
        <f>+C23*'CEV 2026'!$C$92</f>
        <v>#REF!</v>
      </c>
      <c r="H23" s="74">
        <f t="shared" ref="H23:H26" si="23">+H22+5%</f>
        <v>1.1000000000000001</v>
      </c>
      <c r="I23" s="75" t="e">
        <f t="shared" ref="I23:I26" si="24">+$I$21*H23</f>
        <v>#REF!</v>
      </c>
      <c r="J23" s="86" t="e">
        <f>+('CEV 2026'!$D$79+'Análisis Sens'!I23-'CEV 2026'!$D$80)/('CEV 2026'!$C$85+('CEV 2026'!$C$86*'CEV 2026'!$C$91)+('CEV 2026'!$C$87*'CEV 2026'!$C$92))</f>
        <v>#REF!</v>
      </c>
      <c r="K23" s="77" t="e">
        <f t="shared" si="19"/>
        <v>#REF!</v>
      </c>
      <c r="L23" s="76" t="e">
        <f>+J23*'CEV 2026'!$C$91</f>
        <v>#REF!</v>
      </c>
      <c r="M23" s="76" t="e">
        <f>+J23*'CEV 2026'!$C$92</f>
        <v>#REF!</v>
      </c>
      <c r="O23" s="74">
        <f t="shared" ref="O23:O26" si="25">+O22+5%</f>
        <v>1.1000000000000001</v>
      </c>
      <c r="P23" s="75">
        <f t="shared" ref="P23:P26" si="26">+$P$21*O23</f>
        <v>44680900000</v>
      </c>
      <c r="Q23" s="86" t="e">
        <f>+('CEV 2026'!$D$79+'CEV 2026'!#REF!-P23)/('CEV 2026'!$C$85+('CEV 2026'!$C$86*'CEV 2026'!$C$91)+('CEV 2026'!$C$87*'CEV 2026'!$C$92))</f>
        <v>#REF!</v>
      </c>
      <c r="R23" s="77" t="e">
        <f t="shared" si="20"/>
        <v>#REF!</v>
      </c>
      <c r="S23" s="76" t="e">
        <f>+Q23*'CEV 2026'!$C$91</f>
        <v>#REF!</v>
      </c>
      <c r="T23" s="76" t="e">
        <f>+Q23*'CEV 2026'!$C$92</f>
        <v>#REF!</v>
      </c>
    </row>
    <row r="24" spans="1:20" x14ac:dyDescent="0.25">
      <c r="A24" s="74">
        <f t="shared" si="21"/>
        <v>1.1500000000000001</v>
      </c>
      <c r="B24" s="75">
        <f t="shared" si="22"/>
        <v>82379447848.550003</v>
      </c>
      <c r="C24" s="86" t="e">
        <f>+(B24+'CEV 2026'!#REF!-'CEV 2026'!$D$80)/('CEV 2026'!$C$85+('CEV 2026'!$C$86*'CEV 2026'!$C$91)+('CEV 2026'!$C$87*'CEV 2026'!$C$92))</f>
        <v>#REF!</v>
      </c>
      <c r="D24" s="77" t="e">
        <f t="shared" si="18"/>
        <v>#REF!</v>
      </c>
      <c r="E24" s="76" t="e">
        <f>+C24*'CEV 2026'!$C$91</f>
        <v>#REF!</v>
      </c>
      <c r="F24" s="76" t="e">
        <f>+C24*'CEV 2026'!$C$92</f>
        <v>#REF!</v>
      </c>
      <c r="H24" s="74">
        <f t="shared" si="23"/>
        <v>1.1500000000000001</v>
      </c>
      <c r="I24" s="75" t="e">
        <f t="shared" si="24"/>
        <v>#REF!</v>
      </c>
      <c r="J24" s="86" t="e">
        <f>+('CEV 2026'!$D$79+'Análisis Sens'!I24-'CEV 2026'!$D$80)/('CEV 2026'!$C$85+('CEV 2026'!$C$86*'CEV 2026'!$C$91)+('CEV 2026'!$C$87*'CEV 2026'!$C$92))</f>
        <v>#REF!</v>
      </c>
      <c r="K24" s="77" t="e">
        <f t="shared" si="19"/>
        <v>#REF!</v>
      </c>
      <c r="L24" s="76" t="e">
        <f>+J24*'CEV 2026'!$C$91</f>
        <v>#REF!</v>
      </c>
      <c r="M24" s="76" t="e">
        <f>+J24*'CEV 2026'!$C$92</f>
        <v>#REF!</v>
      </c>
      <c r="O24" s="74">
        <f t="shared" si="25"/>
        <v>1.1500000000000001</v>
      </c>
      <c r="P24" s="75">
        <f t="shared" si="26"/>
        <v>46711850000.000008</v>
      </c>
      <c r="Q24" s="86" t="e">
        <f>+('CEV 2026'!$D$79+'CEV 2026'!#REF!-P24)/('CEV 2026'!$C$85+('CEV 2026'!$C$86*'CEV 2026'!$C$91)+('CEV 2026'!$C$87*'CEV 2026'!$C$92))</f>
        <v>#REF!</v>
      </c>
      <c r="R24" s="77" t="e">
        <f t="shared" si="20"/>
        <v>#REF!</v>
      </c>
      <c r="S24" s="76" t="e">
        <f>+Q24*'CEV 2026'!$C$91</f>
        <v>#REF!</v>
      </c>
      <c r="T24" s="76" t="e">
        <f>+Q24*'CEV 2026'!$C$92</f>
        <v>#REF!</v>
      </c>
    </row>
    <row r="25" spans="1:20" x14ac:dyDescent="0.25">
      <c r="A25" s="74">
        <f t="shared" si="21"/>
        <v>1.2000000000000002</v>
      </c>
      <c r="B25" s="75">
        <f t="shared" si="22"/>
        <v>85961162972.400009</v>
      </c>
      <c r="C25" s="86" t="e">
        <f>+(B25+'CEV 2026'!#REF!-'CEV 2026'!$D$80)/('CEV 2026'!$C$85+('CEV 2026'!$C$86*'CEV 2026'!$C$91)+('CEV 2026'!$C$87*'CEV 2026'!$C$92))</f>
        <v>#REF!</v>
      </c>
      <c r="D25" s="77" t="e">
        <f t="shared" si="18"/>
        <v>#REF!</v>
      </c>
      <c r="E25" s="76" t="e">
        <f>+C25*'CEV 2026'!$C$91</f>
        <v>#REF!</v>
      </c>
      <c r="F25" s="76" t="e">
        <f>+C25*'CEV 2026'!$C$92</f>
        <v>#REF!</v>
      </c>
      <c r="H25" s="74">
        <f t="shared" si="23"/>
        <v>1.2000000000000002</v>
      </c>
      <c r="I25" s="75" t="e">
        <f t="shared" si="24"/>
        <v>#REF!</v>
      </c>
      <c r="J25" s="86" t="e">
        <f>+('CEV 2026'!$D$79+'Análisis Sens'!I25-'CEV 2026'!$D$80)/('CEV 2026'!$C$85+('CEV 2026'!$C$86*'CEV 2026'!$C$91)+('CEV 2026'!$C$87*'CEV 2026'!$C$92))</f>
        <v>#REF!</v>
      </c>
      <c r="K25" s="77" t="e">
        <f t="shared" si="19"/>
        <v>#REF!</v>
      </c>
      <c r="L25" s="76" t="e">
        <f>+J25*'CEV 2026'!$C$91</f>
        <v>#REF!</v>
      </c>
      <c r="M25" s="76" t="e">
        <f>+J25*'CEV 2026'!$C$92</f>
        <v>#REF!</v>
      </c>
      <c r="O25" s="74">
        <f t="shared" si="25"/>
        <v>1.2000000000000002</v>
      </c>
      <c r="P25" s="75">
        <f t="shared" si="26"/>
        <v>48742800000.000008</v>
      </c>
      <c r="Q25" s="86" t="e">
        <f>+('CEV 2026'!$D$79+'CEV 2026'!#REF!-P25)/('CEV 2026'!$C$85+('CEV 2026'!$C$86*'CEV 2026'!$C$91)+('CEV 2026'!$C$87*'CEV 2026'!$C$92))</f>
        <v>#REF!</v>
      </c>
      <c r="R25" s="77" t="e">
        <f t="shared" si="20"/>
        <v>#REF!</v>
      </c>
      <c r="S25" s="76" t="e">
        <f>+Q25*'CEV 2026'!$C$91</f>
        <v>#REF!</v>
      </c>
      <c r="T25" s="76" t="e">
        <f>+Q25*'CEV 2026'!$C$92</f>
        <v>#REF!</v>
      </c>
    </row>
    <row r="26" spans="1:20" x14ac:dyDescent="0.25">
      <c r="A26" s="74">
        <f t="shared" si="21"/>
        <v>1.2500000000000002</v>
      </c>
      <c r="B26" s="75">
        <f t="shared" si="22"/>
        <v>89542878096.250015</v>
      </c>
      <c r="C26" s="86" t="e">
        <f>+(B26+'CEV 2026'!#REF!-'CEV 2026'!$D$80)/('CEV 2026'!$C$85+('CEV 2026'!$C$86*'CEV 2026'!$C$91)+('CEV 2026'!$C$87*'CEV 2026'!$C$92))</f>
        <v>#REF!</v>
      </c>
      <c r="D26" s="77" t="e">
        <f t="shared" si="18"/>
        <v>#REF!</v>
      </c>
      <c r="E26" s="76" t="e">
        <f>+C26*'CEV 2026'!$C$91</f>
        <v>#REF!</v>
      </c>
      <c r="F26" s="76" t="e">
        <f>+C26*'CEV 2026'!$C$92</f>
        <v>#REF!</v>
      </c>
      <c r="H26" s="74">
        <f t="shared" si="23"/>
        <v>1.2500000000000002</v>
      </c>
      <c r="I26" s="75" t="e">
        <f t="shared" si="24"/>
        <v>#REF!</v>
      </c>
      <c r="J26" s="86" t="e">
        <f>+('CEV 2026'!$D$79+'Análisis Sens'!I26-'CEV 2026'!$D$80)/('CEV 2026'!$C$85+('CEV 2026'!$C$86*'CEV 2026'!$C$91)+('CEV 2026'!$C$87*'CEV 2026'!$C$92))</f>
        <v>#REF!</v>
      </c>
      <c r="K26" s="77" t="e">
        <f t="shared" si="19"/>
        <v>#REF!</v>
      </c>
      <c r="L26" s="76" t="e">
        <f>+J26*'CEV 2026'!$C$91</f>
        <v>#REF!</v>
      </c>
      <c r="M26" s="76" t="e">
        <f>+J26*'CEV 2026'!$C$92</f>
        <v>#REF!</v>
      </c>
      <c r="O26" s="74">
        <f t="shared" si="25"/>
        <v>1.2500000000000002</v>
      </c>
      <c r="P26" s="75">
        <f t="shared" si="26"/>
        <v>50773750000.000008</v>
      </c>
      <c r="Q26" s="86" t="e">
        <f>+('CEV 2026'!$D$79+'CEV 2026'!#REF!-P26)/('CEV 2026'!$C$85+('CEV 2026'!$C$86*'CEV 2026'!$C$91)+('CEV 2026'!$C$87*'CEV 2026'!$C$92))</f>
        <v>#REF!</v>
      </c>
      <c r="R26" s="77" t="e">
        <f t="shared" si="20"/>
        <v>#REF!</v>
      </c>
      <c r="S26" s="76" t="e">
        <f>+Q26*'CEV 2026'!$C$91</f>
        <v>#REF!</v>
      </c>
      <c r="T26" s="76" t="e">
        <f>+Q26*'CEV 2026'!$C$92</f>
        <v>#REF!</v>
      </c>
    </row>
    <row r="29" spans="1:20" s="88" customFormat="1" ht="27" x14ac:dyDescent="0.25">
      <c r="A29" s="87" t="s">
        <v>323</v>
      </c>
      <c r="B29" s="87" t="s">
        <v>310</v>
      </c>
      <c r="C29" s="87" t="s">
        <v>325</v>
      </c>
      <c r="D29" s="71" t="s">
        <v>326</v>
      </c>
      <c r="E29" s="71" t="s">
        <v>327</v>
      </c>
      <c r="F29" s="71" t="s">
        <v>328</v>
      </c>
      <c r="L29" s="89"/>
      <c r="M29" s="89"/>
      <c r="S29" s="89"/>
      <c r="T29" s="89"/>
    </row>
    <row r="30" spans="1:20" x14ac:dyDescent="0.25">
      <c r="A30" s="74">
        <f t="shared" ref="A30:A33" si="27">+A31-5%</f>
        <v>0.74999999999999978</v>
      </c>
      <c r="B30" s="90">
        <f t="shared" ref="B30:B33" si="28">+$B$35*A30</f>
        <v>0.18889455711504</v>
      </c>
      <c r="C30" s="86" t="e">
        <f>+('CEV 2026'!$D$79+'CEV 2026'!#REF!-'CEV 2026'!$D$80)/('CEV 2026'!$C$85+('CEV 2026'!$C$86*(1-B30))+('CEV 2026'!$C$87*'Análisis Sens'!B30))</f>
        <v>#REF!</v>
      </c>
      <c r="D30" s="77" t="e">
        <f>+(C30-$C$35)/$C$35</f>
        <v>#REF!</v>
      </c>
      <c r="E30" s="76" t="e">
        <f>+C30*'CEV 2026'!$C$91</f>
        <v>#REF!</v>
      </c>
      <c r="F30" s="76" t="e">
        <f>+C30*'CEV 2026'!$C$92</f>
        <v>#REF!</v>
      </c>
      <c r="L30" s="91"/>
      <c r="M30" s="91"/>
      <c r="S30" s="91"/>
      <c r="T30" s="91"/>
    </row>
    <row r="31" spans="1:20" x14ac:dyDescent="0.25">
      <c r="A31" s="74">
        <f t="shared" si="27"/>
        <v>0.79999999999999982</v>
      </c>
      <c r="B31" s="90">
        <f t="shared" si="28"/>
        <v>0.20148752758937602</v>
      </c>
      <c r="C31" s="86" t="e">
        <f>+('CEV 2026'!$D$79+'CEV 2026'!#REF!-'CEV 2026'!$D$80)/('CEV 2026'!$C$85+('CEV 2026'!$C$86*(1-B31))+('CEV 2026'!$C$87*'Análisis Sens'!B31))</f>
        <v>#REF!</v>
      </c>
      <c r="D31" s="77" t="e">
        <f t="shared" ref="D31:D40" si="29">+(C31-$C$35)/$C$35</f>
        <v>#REF!</v>
      </c>
      <c r="E31" s="76" t="e">
        <f>+C31*'CEV 2026'!$C$91</f>
        <v>#REF!</v>
      </c>
      <c r="F31" s="76" t="e">
        <f>+C31*'CEV 2026'!$C$92</f>
        <v>#REF!</v>
      </c>
      <c r="L31" s="91"/>
      <c r="M31" s="91"/>
      <c r="S31" s="91"/>
      <c r="T31" s="91"/>
    </row>
    <row r="32" spans="1:20" x14ac:dyDescent="0.25">
      <c r="A32" s="74">
        <f t="shared" si="27"/>
        <v>0.84999999999999987</v>
      </c>
      <c r="B32" s="90">
        <f t="shared" si="28"/>
        <v>0.21408049806371204</v>
      </c>
      <c r="C32" s="86" t="e">
        <f>+('CEV 2026'!$D$79+'CEV 2026'!#REF!-'CEV 2026'!$D$80)/('CEV 2026'!$C$85+('CEV 2026'!$C$86*(1-B32))+('CEV 2026'!$C$87*'Análisis Sens'!B32))</f>
        <v>#REF!</v>
      </c>
      <c r="D32" s="77" t="e">
        <f t="shared" si="29"/>
        <v>#REF!</v>
      </c>
      <c r="E32" s="76" t="e">
        <f>+C32*'CEV 2026'!$C$91</f>
        <v>#REF!</v>
      </c>
      <c r="F32" s="76" t="e">
        <f>+C32*'CEV 2026'!$C$92</f>
        <v>#REF!</v>
      </c>
      <c r="L32" s="91"/>
      <c r="M32" s="91"/>
      <c r="S32" s="91"/>
      <c r="T32" s="91"/>
    </row>
    <row r="33" spans="1:20" x14ac:dyDescent="0.25">
      <c r="A33" s="74">
        <f t="shared" si="27"/>
        <v>0.89999999999999991</v>
      </c>
      <c r="B33" s="90">
        <f t="shared" si="28"/>
        <v>0.22667346853804807</v>
      </c>
      <c r="C33" s="86" t="e">
        <f>+('CEV 2026'!$D$79+'CEV 2026'!#REF!-'CEV 2026'!$D$80)/('CEV 2026'!$C$85+('CEV 2026'!$C$86*(1-B33))+('CEV 2026'!$C$87*'Análisis Sens'!B33))</f>
        <v>#REF!</v>
      </c>
      <c r="D33" s="77" t="e">
        <f t="shared" si="29"/>
        <v>#REF!</v>
      </c>
      <c r="E33" s="76" t="e">
        <f>+C33*'CEV 2026'!$C$91</f>
        <v>#REF!</v>
      </c>
      <c r="F33" s="76" t="e">
        <f>+C33*'CEV 2026'!$C$92</f>
        <v>#REF!</v>
      </c>
      <c r="L33" s="91"/>
      <c r="M33" s="91"/>
      <c r="S33" s="91"/>
      <c r="T33" s="91"/>
    </row>
    <row r="34" spans="1:20" x14ac:dyDescent="0.25">
      <c r="A34" s="74">
        <f>+A35-5%</f>
        <v>0.95</v>
      </c>
      <c r="B34" s="90">
        <f>+$B$35*A34</f>
        <v>0.23926643901238406</v>
      </c>
      <c r="C34" s="86" t="e">
        <f>+('CEV 2026'!$D$79+'CEV 2026'!#REF!-'CEV 2026'!$D$80)/('CEV 2026'!$C$85+('CEV 2026'!$C$86*(1-B34))+('CEV 2026'!$C$87*'Análisis Sens'!B34))</f>
        <v>#REF!</v>
      </c>
      <c r="D34" s="77" t="e">
        <f t="shared" si="29"/>
        <v>#REF!</v>
      </c>
      <c r="E34" s="76" t="e">
        <f>+C34*'CEV 2026'!$C$91</f>
        <v>#REF!</v>
      </c>
      <c r="F34" s="76" t="e">
        <f>+C34*'CEV 2026'!$C$92</f>
        <v>#REF!</v>
      </c>
      <c r="L34" s="91"/>
      <c r="M34" s="91"/>
      <c r="S34" s="91"/>
      <c r="T34" s="91"/>
    </row>
    <row r="35" spans="1:20" x14ac:dyDescent="0.25">
      <c r="A35" s="79">
        <v>1</v>
      </c>
      <c r="B35" s="92">
        <f>+'CEV 2026'!C92</f>
        <v>0.25185940948672009</v>
      </c>
      <c r="C35" s="81" t="e">
        <f>+('CEV 2026'!$D$79+'CEV 2026'!#REF!-'CEV 2026'!$D$80)/('CEV 2026'!$C$85+('CEV 2026'!$C$86*(1-B35))+('CEV 2026'!$C$87*'Análisis Sens'!B35))</f>
        <v>#REF!</v>
      </c>
      <c r="D35" s="82" t="e">
        <f t="shared" si="29"/>
        <v>#REF!</v>
      </c>
      <c r="E35" s="81" t="e">
        <f>+C35*'CEV 2026'!$C$91</f>
        <v>#REF!</v>
      </c>
      <c r="F35" s="81" t="e">
        <f>+C35*'CEV 2026'!$C$92</f>
        <v>#REF!</v>
      </c>
      <c r="L35" s="91"/>
      <c r="M35" s="91"/>
      <c r="S35" s="91"/>
      <c r="T35" s="91"/>
    </row>
    <row r="36" spans="1:20" x14ac:dyDescent="0.25">
      <c r="A36" s="74">
        <f>+A35+5%</f>
        <v>1.05</v>
      </c>
      <c r="B36" s="90">
        <f>+$B$35*A36</f>
        <v>0.26445237996105608</v>
      </c>
      <c r="C36" s="86" t="e">
        <f>+('CEV 2026'!$D$79+'CEV 2026'!#REF!-'CEV 2026'!$D$80)/('CEV 2026'!$C$85+('CEV 2026'!$C$86*(1-B36))+('CEV 2026'!$C$87*'Análisis Sens'!B36))</f>
        <v>#REF!</v>
      </c>
      <c r="D36" s="77" t="e">
        <f t="shared" si="29"/>
        <v>#REF!</v>
      </c>
      <c r="E36" s="76" t="e">
        <f>+C36*'CEV 2026'!$C$91</f>
        <v>#REF!</v>
      </c>
      <c r="F36" s="76" t="e">
        <f>+C36*'CEV 2026'!$C$92</f>
        <v>#REF!</v>
      </c>
      <c r="L36" s="91"/>
      <c r="M36" s="91"/>
      <c r="S36" s="91"/>
      <c r="T36" s="91"/>
    </row>
    <row r="37" spans="1:20" x14ac:dyDescent="0.25">
      <c r="A37" s="74">
        <f t="shared" ref="A37:A40" si="30">+A36+5%</f>
        <v>1.1000000000000001</v>
      </c>
      <c r="B37" s="90">
        <f t="shared" ref="B37:B40" si="31">+$B$35*A37</f>
        <v>0.27704535043539213</v>
      </c>
      <c r="C37" s="86" t="e">
        <f>+('CEV 2026'!$D$79+'CEV 2026'!#REF!-'CEV 2026'!$D$80)/('CEV 2026'!$C$85+('CEV 2026'!$C$86*(1-B37))+('CEV 2026'!$C$87*'Análisis Sens'!B37))</f>
        <v>#REF!</v>
      </c>
      <c r="D37" s="77" t="e">
        <f t="shared" si="29"/>
        <v>#REF!</v>
      </c>
      <c r="E37" s="76" t="e">
        <f>+C37*'CEV 2026'!$C$91</f>
        <v>#REF!</v>
      </c>
      <c r="F37" s="76" t="e">
        <f>+C37*'CEV 2026'!$C$92</f>
        <v>#REF!</v>
      </c>
      <c r="L37" s="91"/>
      <c r="M37" s="91"/>
      <c r="S37" s="91"/>
      <c r="T37" s="91"/>
    </row>
    <row r="38" spans="1:20" x14ac:dyDescent="0.25">
      <c r="A38" s="74">
        <f t="shared" si="30"/>
        <v>1.1500000000000001</v>
      </c>
      <c r="B38" s="90">
        <f t="shared" si="31"/>
        <v>0.28963832090972813</v>
      </c>
      <c r="C38" s="86" t="e">
        <f>+('CEV 2026'!$D$79+'CEV 2026'!#REF!-'CEV 2026'!$D$80)/('CEV 2026'!$C$85+('CEV 2026'!$C$86*(1-B38))+('CEV 2026'!$C$87*'Análisis Sens'!B38))</f>
        <v>#REF!</v>
      </c>
      <c r="D38" s="77" t="e">
        <f t="shared" si="29"/>
        <v>#REF!</v>
      </c>
      <c r="E38" s="76" t="e">
        <f>+C38*'CEV 2026'!$C$91</f>
        <v>#REF!</v>
      </c>
      <c r="F38" s="76" t="e">
        <f>+C38*'CEV 2026'!$C$92</f>
        <v>#REF!</v>
      </c>
      <c r="L38" s="91"/>
      <c r="M38" s="91"/>
      <c r="S38" s="91"/>
      <c r="T38" s="91"/>
    </row>
    <row r="39" spans="1:20" x14ac:dyDescent="0.25">
      <c r="A39" s="74">
        <f t="shared" si="30"/>
        <v>1.2000000000000002</v>
      </c>
      <c r="B39" s="90">
        <f t="shared" si="31"/>
        <v>0.30223129138406413</v>
      </c>
      <c r="C39" s="86" t="e">
        <f>+('CEV 2026'!$D$79+'CEV 2026'!#REF!-'CEV 2026'!$D$80)/('CEV 2026'!$C$85+('CEV 2026'!$C$86*(1-B39))+('CEV 2026'!$C$87*'Análisis Sens'!B39))</f>
        <v>#REF!</v>
      </c>
      <c r="D39" s="77" t="e">
        <f t="shared" si="29"/>
        <v>#REF!</v>
      </c>
      <c r="E39" s="76" t="e">
        <f>+C39*'CEV 2026'!$C$91</f>
        <v>#REF!</v>
      </c>
      <c r="F39" s="76" t="e">
        <f>+C39*'CEV 2026'!$C$92</f>
        <v>#REF!</v>
      </c>
      <c r="L39" s="91"/>
      <c r="M39" s="91"/>
      <c r="S39" s="91"/>
      <c r="T39" s="91"/>
    </row>
    <row r="40" spans="1:20" x14ac:dyDescent="0.25">
      <c r="A40" s="74">
        <f t="shared" si="30"/>
        <v>1.2500000000000002</v>
      </c>
      <c r="B40" s="90">
        <f t="shared" si="31"/>
        <v>0.31482426185840018</v>
      </c>
      <c r="C40" s="86" t="e">
        <f>+('CEV 2026'!$D$79+'CEV 2026'!#REF!-'CEV 2026'!$D$80)/('CEV 2026'!$C$85+('CEV 2026'!$C$86*(1-B40))+('CEV 2026'!$C$87*'Análisis Sens'!B40))</f>
        <v>#REF!</v>
      </c>
      <c r="D40" s="77" t="e">
        <f t="shared" si="29"/>
        <v>#REF!</v>
      </c>
      <c r="E40" s="76" t="e">
        <f>+C40*'CEV 2026'!$C$91</f>
        <v>#REF!</v>
      </c>
      <c r="F40" s="76" t="e">
        <f>+C40*'CEV 2026'!$C$92</f>
        <v>#REF!</v>
      </c>
      <c r="L40" s="91"/>
      <c r="M40" s="91"/>
      <c r="S40" s="91"/>
      <c r="T40" s="91"/>
    </row>
  </sheetData>
  <pageMargins left="0.7" right="0.7" top="0.75" bottom="0.75" header="0.3" footer="0.3"/>
  <pageSetup paperSize="119" orientation="portrait" r:id="rId1"/>
  <ignoredErrors>
    <ignoredError sqref="B7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5553be4-e2b2-4451-bdde-4122ea94fec9" xsi:nil="true"/>
    <lcf76f155ced4ddcb4097134ff3c332f xmlns="b87fb686-9dd7-4218-b16a-d4b11070a533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47AE9FB8AF9A41977F92410859B5BB" ma:contentTypeVersion="13" ma:contentTypeDescription="Crear nuevo documento." ma:contentTypeScope="" ma:versionID="59fff23362f1fa84589e297f13384522">
  <xsd:schema xmlns:xsd="http://www.w3.org/2001/XMLSchema" xmlns:xs="http://www.w3.org/2001/XMLSchema" xmlns:p="http://schemas.microsoft.com/office/2006/metadata/properties" xmlns:ns2="b87fb686-9dd7-4218-b16a-d4b11070a533" xmlns:ns3="05553be4-e2b2-4451-bdde-4122ea94fec9" targetNamespace="http://schemas.microsoft.com/office/2006/metadata/properties" ma:root="true" ma:fieldsID="42e6b33564f2fdda0105fa420697d0c7" ns2:_="" ns3:_="">
    <xsd:import namespace="b87fb686-9dd7-4218-b16a-d4b11070a533"/>
    <xsd:import namespace="05553be4-e2b2-4451-bdde-4122ea94fe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7fb686-9dd7-4218-b16a-d4b11070a5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dbcad680-5a29-4d0b-8086-9ecf1ca567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553be4-e2b2-4451-bdde-4122ea94fec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acbae009-031f-4d26-add8-9266b59c1c92}" ma:internalName="TaxCatchAll" ma:showField="CatchAllData" ma:web="05553be4-e2b2-4451-bdde-4122ea94fe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602CA35-903A-40CA-9E8B-28651F26EAD1}">
  <ds:schemaRefs>
    <ds:schemaRef ds:uri="http://schemas.microsoft.com/office/infopath/2007/PartnerControls"/>
    <ds:schemaRef ds:uri="http://purl.org/dc/terms/"/>
    <ds:schemaRef ds:uri="http://purl.org/dc/dcmitype/"/>
    <ds:schemaRef ds:uri="b87fb686-9dd7-4218-b16a-d4b11070a533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05553be4-e2b2-4451-bdde-4122ea94fec9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BB960B4F-95FE-475D-8ED3-D9EC2711BF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7fb686-9dd7-4218-b16a-d4b11070a533"/>
    <ds:schemaRef ds:uri="05553be4-e2b2-4451-bdde-4122ea94fe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C114771-093D-473A-9FBA-D83727C0FA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Presupuesto 2026</vt:lpstr>
      <vt:lpstr>Puertos </vt:lpstr>
      <vt:lpstr>Concesiones</vt:lpstr>
      <vt:lpstr>Tránsito</vt:lpstr>
      <vt:lpstr>CEV 2026</vt:lpstr>
      <vt:lpstr>Análisis Sens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Oscar Arellano</dc:creator>
  <cp:keywords/>
  <dc:description/>
  <cp:lastModifiedBy>Luz Elena Caicedo Palacios</cp:lastModifiedBy>
  <cp:revision/>
  <cp:lastPrinted>2026-09-24T22:50:35Z</cp:lastPrinted>
  <dcterms:created xsi:type="dcterms:W3CDTF">2021-10-29T20:58:51Z</dcterms:created>
  <dcterms:modified xsi:type="dcterms:W3CDTF">2026-09-25T14:28:36Z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0x010100E147AE9FB8AF9A41977F92410859B5BB</vt:lpwstr>
  </property>
  <property fmtid="{D5CDD505-2E9C-101B-9397-08002B2CF9AE}" pid="3" name="MediaServiceImageTags">
    <vt:lpwstr/>
  </property>
</Properties>
</file>