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autoCompressPictures="0"/>
  <xr:revisionPtr revIDLastSave="0" documentId="13_ncr:1_{54DEFCBB-0159-43D7-9D33-076EEEA208EB}" xr6:coauthVersionLast="47" xr6:coauthVersionMax="47" xr10:uidLastSave="{00000000-0000-0000-0000-000000000000}"/>
  <bookViews>
    <workbookView xWindow="-19320" yWindow="-60" windowWidth="19440" windowHeight="14880" tabRatio="741" xr2:uid="{00000000-000D-0000-FFFF-FFFF00000000}"/>
  </bookViews>
  <sheets>
    <sheet name="Ene" sheetId="1" r:id="rId1"/>
    <sheet name="Feb" sheetId="6" r:id="rId2"/>
    <sheet name="Mar" sheetId="17" r:id="rId3"/>
    <sheet name="Abr" sheetId="18" r:id="rId4"/>
    <sheet name="May" sheetId="19" r:id="rId5"/>
    <sheet name="Jun" sheetId="20" r:id="rId6"/>
    <sheet name="Jul" sheetId="21" r:id="rId7"/>
    <sheet name="Ago" sheetId="22" r:id="rId8"/>
    <sheet name="Sep" sheetId="23" r:id="rId9"/>
    <sheet name="Oct" sheetId="24" r:id="rId10"/>
    <sheet name="Nov" sheetId="25" r:id="rId11"/>
    <sheet name="Dic" sheetId="26" r:id="rId12"/>
  </sheets>
  <definedNames>
    <definedName name="AbrDom1">DATE(AñoCalendario,4,1)-WEEKDAY(DATE(AñoCalendario,4,1))+1</definedName>
    <definedName name="AgoDom1">DATE(AñoCalendario,8,1)-WEEKDAY(DATE(AñoCalendario,8,1))+1</definedName>
    <definedName name="AñoCalendario">Ene!$B$3</definedName>
    <definedName name="AssignmentDays" localSheetId="3">Abr!$K$4:$K$16</definedName>
    <definedName name="AssignmentDays" localSheetId="7">Ago!$K$4:$K$16</definedName>
    <definedName name="AssignmentDays" localSheetId="11">Dic!$K$4:$K$16</definedName>
    <definedName name="AssignmentDays" localSheetId="1">Feb!$K$4:$K$16</definedName>
    <definedName name="AssignmentDays" localSheetId="6">Jul!$K$4:$K$16</definedName>
    <definedName name="AssignmentDays" localSheetId="5">Jun!$K$4:$K$16</definedName>
    <definedName name="AssignmentDays" localSheetId="2">Mar!$K$4:$K$16</definedName>
    <definedName name="AssignmentDays" localSheetId="4">May!$K$4:$K$16</definedName>
    <definedName name="AssignmentDays" localSheetId="10">Nov!$K$4:$K$16</definedName>
    <definedName name="AssignmentDays" localSheetId="9">Oct!$K$4:$K$16</definedName>
    <definedName name="AssignmentDays" localSheetId="8">Sep!$K$4:$K$16</definedName>
    <definedName name="AssignmentDays">Ene!$K$4:$K$16</definedName>
    <definedName name="ColumnTitle1">JanuaryAssignments[[#Headers],[Día de la semana]]</definedName>
    <definedName name="ColumnTitle4">AprilAssignments[[#Headers],[Día de la semana]]</definedName>
    <definedName name="ColumnTitle5">MayAssignments[[#Headers],[Día de la semana]]</definedName>
    <definedName name="ColumnTitle6">JuneAssignments[[#Headers],[Día de la semana]]</definedName>
    <definedName name="ColumnTitle7">JulyAssignments[[#Headers],[Día de la semana]]</definedName>
    <definedName name="ColumnTitle8">AugustAssignments[[#Headers],[Día de la semana]]</definedName>
    <definedName name="ColumnTitleRegion1..I8.1">Ene!$C$4</definedName>
    <definedName name="ColumnTitleRegion1..I8.10">Oct!$C$4</definedName>
    <definedName name="ColumnTitleRegion1..I8.11">Nov!$C$4</definedName>
    <definedName name="ColumnTitleRegion1..I8.12">Dic!$C$4</definedName>
    <definedName name="ColumnTitleRegion1..I8.2">Feb!$C$4</definedName>
    <definedName name="ColumnTitleRegion1..I8.3">Mar!$C$4</definedName>
    <definedName name="ColumnTitleRegion1..I8.4">Abr!$C$4</definedName>
    <definedName name="ColumnTitleRegion1..I8.5">May!$C$4</definedName>
    <definedName name="ColumnTitleRegion1..I8.6">Jun!$C$4</definedName>
    <definedName name="ColumnTitleRegion1..I8.7">Jul!$C$4</definedName>
    <definedName name="ColumnTitleRegion1..I8.8">Ago!$C$4</definedName>
    <definedName name="ColumnTitleRegion1..I8.9">Sep!$C$4</definedName>
    <definedName name="DecSun1">DATE(AñoCalendario,12,1)-WEEKDAY(DATE(AñoCalendario,12,1))+1</definedName>
    <definedName name="FebSun1">DATE(AñoCalendario,2,1)-WEEKDAY(DATE(AñoCalendario,2,1))+1</definedName>
    <definedName name="ImportantDatesTable" localSheetId="3">Abr!$K$4:$L$8</definedName>
    <definedName name="ImportantDatesTable" localSheetId="7">Ago!$K$4:$L$8</definedName>
    <definedName name="ImportantDatesTable" localSheetId="11">Dic!$K$4:$L$9</definedName>
    <definedName name="ImportantDatesTable" localSheetId="1">Feb!$K$4:$L$8</definedName>
    <definedName name="ImportantDatesTable" localSheetId="6">Jul!$K$4:$L$8</definedName>
    <definedName name="ImportantDatesTable" localSheetId="5">Jun!$K$4:$L$8</definedName>
    <definedName name="ImportantDatesTable" localSheetId="2">Mar!$K$4:$L$8</definedName>
    <definedName name="ImportantDatesTable" localSheetId="4">May!$K$4:$L$8</definedName>
    <definedName name="ImportantDatesTable" localSheetId="10">Nov!$K$4:$L$8</definedName>
    <definedName name="ImportantDatesTable" localSheetId="9">Oct!$K$4:$L$8</definedName>
    <definedName name="ImportantDatesTable" localSheetId="8">Sep!$K$4:$L$8</definedName>
    <definedName name="ImportantDatesTable">Ene!$K$4:$L$8</definedName>
    <definedName name="JanSun1">DATE(AñoCalendario,1,1)-WEEKDAY(DATE(AñoCalendario,1,1))+1</definedName>
    <definedName name="JulSun1">DATE(AñoCalendario,7,1)-WEEKDAY(DATE(AñoCalendario,7,1))+1</definedName>
    <definedName name="JunSun1">DATE(AñoCalendario,6,1)-WEEKDAY(DATE(AñoCalendario,6,1))+1</definedName>
    <definedName name="MarSun1">DATE(AñoCalendario,3,1)-WEEKDAY(DATE(AñoCalendario,3,1))+1</definedName>
    <definedName name="MaySun1">DATE(AñoCalendario,5,1)-WEEKDAY(DATE(AñoCalendario,5,1))+1</definedName>
    <definedName name="NovSun1">DATE(AñoCalendario,11,1)-WEEKDAY(DATE(AñoCalendario,11,1))+1</definedName>
    <definedName name="OctSun1">DATE(AñoCalendario,10,1)-WEEKDAY(DATE(AñoCalendario,10,1))+1</definedName>
    <definedName name="RegiónDeTítulo2..I31.2">Feb!$A$13</definedName>
    <definedName name="RegiónDeTítulo2..I31.6">Jun!$A$13</definedName>
    <definedName name="RegiónDeTítulo2..I31.7">Jul!$A$13</definedName>
    <definedName name="RegiónDeTítulo2..I31.8">Ago!$A$13</definedName>
    <definedName name="RegiónDeTítulo2..I31.9">Sep!$A$13</definedName>
    <definedName name="SepSun1">DATE(AñoCalendario,9,1)-WEEKDAY(DATE(AñoCalendario,9,1))+1</definedName>
    <definedName name="TitleRegion2..I31.1">Ene!$A$13</definedName>
    <definedName name="TitleRegion2..I31.10">Oct!$A$13</definedName>
    <definedName name="TitleRegion2..I31.11">Nov!$A$13</definedName>
    <definedName name="TitleRegion2..I31.12">Dic!$A$13</definedName>
    <definedName name="TitleRegion2..I31.3">Mar!$A$13</definedName>
    <definedName name="TitleRegion2..I31.4">Abr!$A$13</definedName>
    <definedName name="TitleRegion2..I31.5">May!$A$13</definedName>
    <definedName name="TítuloDeColumna10">OctoberAssignments[[#Headers],[Día de la semana]]</definedName>
    <definedName name="TítuloDeColumna11">NovemberAssignments[[#Headers],[Día de la semana]]</definedName>
    <definedName name="TítuloDeColumna12">DecemberAssignments[[#Headers],[Día de la semana]]</definedName>
    <definedName name="TítuloDeColumna2">FebruaryAssignments[[#Headers],[Día de la semana]]</definedName>
    <definedName name="TítuloDeColumna3">MachrAssignments[[#Headers],[Día de la semana]]</definedName>
    <definedName name="TítuloDeColumna9">SeptemberAssignments[[#Headers],[Día de la semana]]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7" i="6" l="1"/>
  <c r="I7" i="26"/>
  <c r="I7" i="25"/>
  <c r="I7" i="24"/>
  <c r="I7" i="23"/>
  <c r="I7" i="22"/>
  <c r="I7" i="21"/>
  <c r="I7" i="20"/>
  <c r="I7" i="19"/>
  <c r="I7" i="18"/>
  <c r="I7" i="17"/>
  <c r="I10" i="26"/>
  <c r="E10" i="26"/>
  <c r="H9" i="26"/>
  <c r="D9" i="26"/>
  <c r="G8" i="26"/>
  <c r="C8" i="26"/>
  <c r="F7" i="26"/>
  <c r="I6" i="26"/>
  <c r="E6" i="26"/>
  <c r="H5" i="26"/>
  <c r="D5" i="26"/>
  <c r="E9" i="26"/>
  <c r="G7" i="26"/>
  <c r="F6" i="26"/>
  <c r="H10" i="26"/>
  <c r="D10" i="26"/>
  <c r="G9" i="26"/>
  <c r="C9" i="26"/>
  <c r="F8" i="26"/>
  <c r="E7" i="26"/>
  <c r="H6" i="26"/>
  <c r="D6" i="26"/>
  <c r="G5" i="26"/>
  <c r="C5" i="26"/>
  <c r="D8" i="26"/>
  <c r="E5" i="26"/>
  <c r="G10" i="26"/>
  <c r="C10" i="26"/>
  <c r="F9" i="26"/>
  <c r="I8" i="26"/>
  <c r="E8" i="26"/>
  <c r="H7" i="26"/>
  <c r="D7" i="26"/>
  <c r="G6" i="26"/>
  <c r="C6" i="26"/>
  <c r="F5" i="26"/>
  <c r="F10" i="26"/>
  <c r="I9" i="26"/>
  <c r="H8" i="26"/>
  <c r="C7" i="26"/>
  <c r="I5" i="26"/>
  <c r="B3" i="26"/>
  <c r="I10" i="25"/>
  <c r="E10" i="25"/>
  <c r="H9" i="25"/>
  <c r="D9" i="25"/>
  <c r="G8" i="25"/>
  <c r="C8" i="25"/>
  <c r="F7" i="25"/>
  <c r="I6" i="25"/>
  <c r="E6" i="25"/>
  <c r="H5" i="25"/>
  <c r="D5" i="25"/>
  <c r="I9" i="25"/>
  <c r="D8" i="25"/>
  <c r="C7" i="25"/>
  <c r="E5" i="25"/>
  <c r="H10" i="25"/>
  <c r="D10" i="25"/>
  <c r="G9" i="25"/>
  <c r="C9" i="25"/>
  <c r="F8" i="25"/>
  <c r="E7" i="25"/>
  <c r="H6" i="25"/>
  <c r="D6" i="25"/>
  <c r="G5" i="25"/>
  <c r="C5" i="25"/>
  <c r="H8" i="25"/>
  <c r="F6" i="25"/>
  <c r="G10" i="25"/>
  <c r="C10" i="25"/>
  <c r="F9" i="25"/>
  <c r="I8" i="25"/>
  <c r="E8" i="25"/>
  <c r="H7" i="25"/>
  <c r="D7" i="25"/>
  <c r="G6" i="25"/>
  <c r="C6" i="25"/>
  <c r="F5" i="25"/>
  <c r="F10" i="25"/>
  <c r="E9" i="25"/>
  <c r="G7" i="25"/>
  <c r="I5" i="25"/>
  <c r="B3" i="25"/>
  <c r="I10" i="24"/>
  <c r="E10" i="24"/>
  <c r="H9" i="24"/>
  <c r="D9" i="24"/>
  <c r="G8" i="24"/>
  <c r="C8" i="24"/>
  <c r="F7" i="24"/>
  <c r="I6" i="24"/>
  <c r="E6" i="24"/>
  <c r="H5" i="24"/>
  <c r="D5" i="24"/>
  <c r="C10" i="24"/>
  <c r="I8" i="24"/>
  <c r="H7" i="24"/>
  <c r="G6" i="24"/>
  <c r="F5" i="24"/>
  <c r="I9" i="24"/>
  <c r="H8" i="24"/>
  <c r="G7" i="24"/>
  <c r="F6" i="24"/>
  <c r="E5" i="24"/>
  <c r="H10" i="24"/>
  <c r="D10" i="24"/>
  <c r="G9" i="24"/>
  <c r="C9" i="24"/>
  <c r="F8" i="24"/>
  <c r="E7" i="24"/>
  <c r="H6" i="24"/>
  <c r="D6" i="24"/>
  <c r="G5" i="24"/>
  <c r="C5" i="24"/>
  <c r="G10" i="24"/>
  <c r="F9" i="24"/>
  <c r="E8" i="24"/>
  <c r="D7" i="24"/>
  <c r="C6" i="24"/>
  <c r="F10" i="24"/>
  <c r="E9" i="24"/>
  <c r="D8" i="24"/>
  <c r="C7" i="24"/>
  <c r="I5" i="24"/>
  <c r="B3" i="24"/>
  <c r="I10" i="23"/>
  <c r="E10" i="23"/>
  <c r="H9" i="23"/>
  <c r="D9" i="23"/>
  <c r="G8" i="23"/>
  <c r="C8" i="23"/>
  <c r="F7" i="23"/>
  <c r="I6" i="23"/>
  <c r="E6" i="23"/>
  <c r="H5" i="23"/>
  <c r="D5" i="23"/>
  <c r="I9" i="23"/>
  <c r="G7" i="23"/>
  <c r="E5" i="23"/>
  <c r="H10" i="23"/>
  <c r="D10" i="23"/>
  <c r="G9" i="23"/>
  <c r="C9" i="23"/>
  <c r="F8" i="23"/>
  <c r="E7" i="23"/>
  <c r="H6" i="23"/>
  <c r="D6" i="23"/>
  <c r="G5" i="23"/>
  <c r="C5" i="23"/>
  <c r="E9" i="23"/>
  <c r="C7" i="23"/>
  <c r="I5" i="23"/>
  <c r="G10" i="23"/>
  <c r="C10" i="23"/>
  <c r="F9" i="23"/>
  <c r="I8" i="23"/>
  <c r="E8" i="23"/>
  <c r="H7" i="23"/>
  <c r="D7" i="23"/>
  <c r="G6" i="23"/>
  <c r="C6" i="23"/>
  <c r="F5" i="23"/>
  <c r="F10" i="23"/>
  <c r="H8" i="23"/>
  <c r="D8" i="23"/>
  <c r="F6" i="23"/>
  <c r="B3" i="23"/>
  <c r="I10" i="22"/>
  <c r="E10" i="22"/>
  <c r="H9" i="22"/>
  <c r="D9" i="22"/>
  <c r="G8" i="22"/>
  <c r="C8" i="22"/>
  <c r="F7" i="22"/>
  <c r="I6" i="22"/>
  <c r="E6" i="22"/>
  <c r="H5" i="22"/>
  <c r="D5" i="22"/>
  <c r="H10" i="22"/>
  <c r="D10" i="22"/>
  <c r="G9" i="22"/>
  <c r="C9" i="22"/>
  <c r="F8" i="22"/>
  <c r="E7" i="22"/>
  <c r="H6" i="22"/>
  <c r="D6" i="22"/>
  <c r="G5" i="22"/>
  <c r="C5" i="22"/>
  <c r="G10" i="22"/>
  <c r="C10" i="22"/>
  <c r="F9" i="22"/>
  <c r="I8" i="22"/>
  <c r="E8" i="22"/>
  <c r="H7" i="22"/>
  <c r="D7" i="22"/>
  <c r="G6" i="22"/>
  <c r="C6" i="22"/>
  <c r="F5" i="22"/>
  <c r="F10" i="22"/>
  <c r="I9" i="22"/>
  <c r="E9" i="22"/>
  <c r="H8" i="22"/>
  <c r="D8" i="22"/>
  <c r="G7" i="22"/>
  <c r="C7" i="22"/>
  <c r="F6" i="22"/>
  <c r="I5" i="22"/>
  <c r="E5" i="22"/>
  <c r="B3" i="22"/>
  <c r="I10" i="21"/>
  <c r="E10" i="21"/>
  <c r="H9" i="21"/>
  <c r="D9" i="21"/>
  <c r="G8" i="21"/>
  <c r="C8" i="21"/>
  <c r="F7" i="21"/>
  <c r="I6" i="21"/>
  <c r="E6" i="21"/>
  <c r="H5" i="21"/>
  <c r="D5" i="21"/>
  <c r="C10" i="21"/>
  <c r="I8" i="21"/>
  <c r="H7" i="21"/>
  <c r="G6" i="21"/>
  <c r="F5" i="21"/>
  <c r="H10" i="21"/>
  <c r="D10" i="21"/>
  <c r="G9" i="21"/>
  <c r="C9" i="21"/>
  <c r="F8" i="21"/>
  <c r="E7" i="21"/>
  <c r="H6" i="21"/>
  <c r="D6" i="21"/>
  <c r="G5" i="21"/>
  <c r="C5" i="21"/>
  <c r="F9" i="21"/>
  <c r="E8" i="21"/>
  <c r="D7" i="21"/>
  <c r="C6" i="21"/>
  <c r="G10" i="21"/>
  <c r="F10" i="21"/>
  <c r="I9" i="21"/>
  <c r="E9" i="21"/>
  <c r="H8" i="21"/>
  <c r="D8" i="21"/>
  <c r="G7" i="21"/>
  <c r="C7" i="21"/>
  <c r="F6" i="21"/>
  <c r="I5" i="21"/>
  <c r="E5" i="21"/>
  <c r="B3" i="21"/>
  <c r="I10" i="20"/>
  <c r="E10" i="20"/>
  <c r="H9" i="20"/>
  <c r="D9" i="20"/>
  <c r="G8" i="20"/>
  <c r="C8" i="20"/>
  <c r="F7" i="20"/>
  <c r="I6" i="20"/>
  <c r="E6" i="20"/>
  <c r="H5" i="20"/>
  <c r="D5" i="20"/>
  <c r="E9" i="20"/>
  <c r="D8" i="20"/>
  <c r="F6" i="20"/>
  <c r="H10" i="20"/>
  <c r="D10" i="20"/>
  <c r="G9" i="20"/>
  <c r="C9" i="20"/>
  <c r="F8" i="20"/>
  <c r="E7" i="20"/>
  <c r="H6" i="20"/>
  <c r="D6" i="20"/>
  <c r="G5" i="20"/>
  <c r="C5" i="20"/>
  <c r="I9" i="20"/>
  <c r="G7" i="20"/>
  <c r="I5" i="20"/>
  <c r="G10" i="20"/>
  <c r="C10" i="20"/>
  <c r="F9" i="20"/>
  <c r="I8" i="20"/>
  <c r="E8" i="20"/>
  <c r="H7" i="20"/>
  <c r="D7" i="20"/>
  <c r="G6" i="20"/>
  <c r="C6" i="20"/>
  <c r="F5" i="20"/>
  <c r="F10" i="20"/>
  <c r="H8" i="20"/>
  <c r="C7" i="20"/>
  <c r="E5" i="20"/>
  <c r="B3" i="20"/>
  <c r="I10" i="19"/>
  <c r="E10" i="19"/>
  <c r="H9" i="19"/>
  <c r="D9" i="19"/>
  <c r="G8" i="19"/>
  <c r="C8" i="19"/>
  <c r="F7" i="19"/>
  <c r="I6" i="19"/>
  <c r="E6" i="19"/>
  <c r="H5" i="19"/>
  <c r="D5" i="19"/>
  <c r="F6" i="19"/>
  <c r="E5" i="19"/>
  <c r="H10" i="19"/>
  <c r="D10" i="19"/>
  <c r="G9" i="19"/>
  <c r="C9" i="19"/>
  <c r="F8" i="19"/>
  <c r="E7" i="19"/>
  <c r="H6" i="19"/>
  <c r="D6" i="19"/>
  <c r="G5" i="19"/>
  <c r="C5" i="19"/>
  <c r="C7" i="19"/>
  <c r="G10" i="19"/>
  <c r="C10" i="19"/>
  <c r="F9" i="19"/>
  <c r="I8" i="19"/>
  <c r="E8" i="19"/>
  <c r="H7" i="19"/>
  <c r="D7" i="19"/>
  <c r="G6" i="19"/>
  <c r="C6" i="19"/>
  <c r="F5" i="19"/>
  <c r="F10" i="19"/>
  <c r="I9" i="19"/>
  <c r="E9" i="19"/>
  <c r="H8" i="19"/>
  <c r="D8" i="19"/>
  <c r="G7" i="19"/>
  <c r="I5" i="19"/>
  <c r="B3" i="19"/>
  <c r="I10" i="18"/>
  <c r="E10" i="18"/>
  <c r="H9" i="18"/>
  <c r="D9" i="18"/>
  <c r="G8" i="18"/>
  <c r="C8" i="18"/>
  <c r="F7" i="18"/>
  <c r="I6" i="18"/>
  <c r="E6" i="18"/>
  <c r="H5" i="18"/>
  <c r="D5" i="18"/>
  <c r="I9" i="18"/>
  <c r="D8" i="18"/>
  <c r="F6" i="18"/>
  <c r="H10" i="18"/>
  <c r="D10" i="18"/>
  <c r="G9" i="18"/>
  <c r="C9" i="18"/>
  <c r="F8" i="18"/>
  <c r="E7" i="18"/>
  <c r="H6" i="18"/>
  <c r="D6" i="18"/>
  <c r="G5" i="18"/>
  <c r="C5" i="18"/>
  <c r="H8" i="18"/>
  <c r="C7" i="18"/>
  <c r="E5" i="18"/>
  <c r="G10" i="18"/>
  <c r="C10" i="18"/>
  <c r="F9" i="18"/>
  <c r="I8" i="18"/>
  <c r="E8" i="18"/>
  <c r="H7" i="18"/>
  <c r="D7" i="18"/>
  <c r="G6" i="18"/>
  <c r="C6" i="18"/>
  <c r="F5" i="18"/>
  <c r="F10" i="18"/>
  <c r="E9" i="18"/>
  <c r="G7" i="18"/>
  <c r="I5" i="18"/>
  <c r="B3" i="18"/>
  <c r="I10" i="17"/>
  <c r="E10" i="17"/>
  <c r="H9" i="17"/>
  <c r="D9" i="17"/>
  <c r="G8" i="17"/>
  <c r="C8" i="17"/>
  <c r="F7" i="17"/>
  <c r="I6" i="17"/>
  <c r="E6" i="17"/>
  <c r="H5" i="17"/>
  <c r="D5" i="17"/>
  <c r="H10" i="17"/>
  <c r="D10" i="17"/>
  <c r="G9" i="17"/>
  <c r="C9" i="17"/>
  <c r="F8" i="17"/>
  <c r="E7" i="17"/>
  <c r="H6" i="17"/>
  <c r="D6" i="17"/>
  <c r="G5" i="17"/>
  <c r="C5" i="17"/>
  <c r="G10" i="17"/>
  <c r="C10" i="17"/>
  <c r="F9" i="17"/>
  <c r="I8" i="17"/>
  <c r="E8" i="17"/>
  <c r="H7" i="17"/>
  <c r="D7" i="17"/>
  <c r="G6" i="17"/>
  <c r="C6" i="17"/>
  <c r="F5" i="17"/>
  <c r="F10" i="17"/>
  <c r="I9" i="17"/>
  <c r="E9" i="17"/>
  <c r="H8" i="17"/>
  <c r="D8" i="17"/>
  <c r="G7" i="17"/>
  <c r="C7" i="17"/>
  <c r="F6" i="17"/>
  <c r="I5" i="17"/>
  <c r="E5" i="17"/>
  <c r="B3" i="17"/>
  <c r="B3" i="6" l="1"/>
  <c r="I10" i="6"/>
  <c r="H10" i="6"/>
  <c r="G10" i="6"/>
  <c r="F10" i="6"/>
  <c r="E10" i="6"/>
  <c r="D10" i="6"/>
  <c r="C10" i="6"/>
  <c r="I9" i="6"/>
  <c r="H9" i="6"/>
  <c r="G9" i="6"/>
  <c r="F9" i="6"/>
  <c r="E9" i="6"/>
  <c r="D9" i="6"/>
  <c r="C9" i="6"/>
  <c r="I8" i="6"/>
  <c r="H8" i="6"/>
  <c r="G8" i="6"/>
  <c r="F8" i="6"/>
  <c r="E8" i="6"/>
  <c r="D8" i="6"/>
  <c r="C8" i="6"/>
  <c r="H7" i="6"/>
  <c r="G7" i="6"/>
  <c r="F7" i="6"/>
  <c r="E7" i="6"/>
  <c r="D7" i="6"/>
  <c r="C7" i="6"/>
  <c r="I6" i="6"/>
  <c r="H6" i="6"/>
  <c r="G6" i="6"/>
  <c r="F6" i="6"/>
  <c r="E6" i="6"/>
  <c r="D6" i="6"/>
  <c r="C6" i="6"/>
  <c r="I5" i="6"/>
  <c r="H5" i="6"/>
  <c r="G5" i="6"/>
  <c r="F5" i="6"/>
  <c r="E5" i="6"/>
  <c r="D5" i="6"/>
  <c r="C5" i="6"/>
  <c r="H5" i="1"/>
  <c r="I10" i="1"/>
  <c r="H10" i="1"/>
  <c r="G10" i="1"/>
  <c r="F10" i="1"/>
  <c r="E10" i="1"/>
  <c r="D10" i="1"/>
  <c r="C10" i="1"/>
  <c r="I9" i="1"/>
  <c r="H9" i="1"/>
  <c r="G9" i="1"/>
  <c r="F9" i="1"/>
  <c r="E9" i="1"/>
  <c r="D9" i="1"/>
  <c r="C9" i="1"/>
  <c r="I8" i="1"/>
  <c r="H8" i="1"/>
  <c r="G8" i="1"/>
  <c r="F8" i="1"/>
  <c r="E8" i="1"/>
  <c r="D8" i="1"/>
  <c r="C8" i="1"/>
  <c r="I7" i="1"/>
  <c r="H7" i="1"/>
  <c r="G7" i="1"/>
  <c r="F7" i="1"/>
  <c r="E7" i="1"/>
  <c r="D7" i="1"/>
  <c r="C7" i="1"/>
  <c r="I6" i="1"/>
  <c r="H6" i="1"/>
  <c r="G6" i="1"/>
  <c r="F6" i="1"/>
  <c r="E6" i="1"/>
  <c r="D6" i="1"/>
  <c r="C6" i="1"/>
  <c r="I5" i="1"/>
  <c r="G5" i="1"/>
  <c r="F5" i="1"/>
  <c r="E5" i="1"/>
  <c r="D5" i="1"/>
  <c r="C5" i="1"/>
</calcChain>
</file>

<file path=xl/sharedStrings.xml><?xml version="1.0" encoding="utf-8"?>
<sst xmlns="http://schemas.openxmlformats.org/spreadsheetml/2006/main" count="185" uniqueCount="53">
  <si>
    <t>Día de la semana</t>
  </si>
  <si>
    <t>día de calendario</t>
  </si>
  <si>
    <t>ENE</t>
  </si>
  <si>
    <t>LUN.</t>
  </si>
  <si>
    <t>MAR.</t>
  </si>
  <si>
    <t>MIÉ.</t>
  </si>
  <si>
    <t>JUE.</t>
  </si>
  <si>
    <t>VIE.</t>
  </si>
  <si>
    <t>SÁB.</t>
  </si>
  <si>
    <t>DOM.</t>
  </si>
  <si>
    <t>FEB</t>
  </si>
  <si>
    <t>MAR</t>
  </si>
  <si>
    <t>ABR</t>
  </si>
  <si>
    <t>MAY</t>
  </si>
  <si>
    <t>JUN</t>
  </si>
  <si>
    <t>JUL</t>
  </si>
  <si>
    <t>AGO</t>
  </si>
  <si>
    <t>SEP</t>
  </si>
  <si>
    <t>OCT</t>
  </si>
  <si>
    <t>NOV</t>
  </si>
  <si>
    <t>DIC</t>
  </si>
  <si>
    <t>ACTIVIDADES</t>
  </si>
  <si>
    <t>Talleres semestrales para promover la eliminación de violencias y discriminación basadas en género en el sector transporte Taller "desafiando estereotipos: género y equidad en el transporte</t>
  </si>
  <si>
    <t>Publicación anual del Plan Estratégico de Talento Humano para recepción de comentarios de la ciudadanía</t>
  </si>
  <si>
    <t>Establecer el  cronograma de ejecución de las actividades identificadas que se desarrollarán para promover la participación ciudadana y publicación en el PORTAL WEB</t>
  </si>
  <si>
    <t xml:space="preserve">Transmisiones en vivo a través de nuestras redes sociales fortaleciendo la relación de la entidad con la ciudadanía, permitiendo una comunicación directa y en tiempo real. </t>
  </si>
  <si>
    <t>Realizar el diagnóstico del estado actual de la participación ciudadana en la entidad</t>
  </si>
  <si>
    <t>Socializar los resultados del diagnóstico de la participación ciudadana en la entidad</t>
  </si>
  <si>
    <t xml:space="preserve">Realizar Publicaciones sobre temas de relevancia de PQRSD y solicitudes en general </t>
  </si>
  <si>
    <t>Socializar la carta de trato digno</t>
  </si>
  <si>
    <t>DÍA</t>
  </si>
  <si>
    <t xml:space="preserve">Boletin Semestral que promueva la eliminación de violencias y discriminación basadas en género en el sector transporte </t>
  </si>
  <si>
    <t>Desarrollar y publicar una encuesta semestral dirigida a vigilados, usuarios y la ciudadanía en general, con el fin de evaluar los procesos de comunicación y conocer cómo se percibe la entidad en las redes sociales, así como identificar el tipo de contenido que desean ver en nuestras redes</t>
  </si>
  <si>
    <t xml:space="preserve">Revision y/o actualizacion de la identificación de las necesidades de los ciudadanos en la pagina WEB y/o redes sociales </t>
  </si>
  <si>
    <t>Socializar el protocolo de servicio</t>
  </si>
  <si>
    <t xml:space="preserve">Espacios de participacion ciudadana a traves de  foros o  actividades presenciales o virtuales con los ciudadanos y grupos de valor  </t>
  </si>
  <si>
    <t>Socializar la caracterización de la ciudadanía</t>
  </si>
  <si>
    <t>Socializar la política de relacionamiento con el ciudadano</t>
  </si>
  <si>
    <t>Socializar el portafolio de servicio</t>
  </si>
  <si>
    <t>Laboratorio de simplicidad sobre producción documental, trámites y/o procedimientos diseñados por la delegatura para la protección a usuarios del sector transporte</t>
  </si>
  <si>
    <t xml:space="preserve">Socializar el acto administrativo por medio del cual se establece la tarifa para el cálculo de la Contribución Especial de Vigilancia </t>
  </si>
  <si>
    <t xml:space="preserve">Participar o desarrollar un espacio de diálogo virtual (chat, foro, facebook live) de un tema relacionado con las acciones desarrolladas por la Delegatura de Puertos </t>
  </si>
  <si>
    <t xml:space="preserve">Generar espacios de diálogo dando a conocer elementos básicos del ordenamiento jurídico establecido, para fortalecer la prestación del servicio del sector transporte e identificar necesidades, resolver inquietudes de los ciudadanos y grupos de valor en materia portuaria, maritima, fluvial y demas actores de la cadena logisitica. </t>
  </si>
  <si>
    <t>Publicar en el Portal WEB los proyectos de actos administrativos</t>
  </si>
  <si>
    <t>Publicar para comentarios de la ciudadanía el Plan de Participación Ciudadana 2026</t>
  </si>
  <si>
    <t xml:space="preserve"> Boletin Semestral que promueva la eliminación de violencias y discriminación basadas en género en el sector transporte </t>
  </si>
  <si>
    <t>Generar durante la vigencia, espacios de diálogo presencial o virtual dando a conocer elementos básicos del ordenamiento jurídico establecido, para fortalecer la prestación del servicio del sector transporte e identificar necesidades, resolver inquietudes de los ciudadanos y grupos de valor en materia de concesiones (carretero, terminales, aerodromos y aeropuertos). (Sujeto a la demanda)</t>
  </si>
  <si>
    <t>Espacios de chat virtual, foro o facebook live con la ciudadanía y grupos de valor, con el fin de dar a conocer acciones realizadas por la delegatura de concesiones, así como conocer e identificar necesidades y dudas de los ciudadanos</t>
  </si>
  <si>
    <t>Diagnostico anual a traves de la encuesta de percepcion ciudadana con el fin de identificar y documentar las debilidades y fortalezas de la Política de Participación Ciudadana.</t>
  </si>
  <si>
    <t>Espacio de diálogo virtual a través de Redes Sociales para dar a conocer elementos que el ordenamiento jurídico ha establecido con el fin de fortalecer la prestación del servicio del sector transporte</t>
  </si>
  <si>
    <t xml:space="preserve">Jornadas anuales de socializacion a la ciudadania acerca de los canales de radicación dispuestos por la entidad.  </t>
  </si>
  <si>
    <t xml:space="preserve"> Encuesta de medición de la calidad del servicio de recepción, registro y radicación en el sistema de gestión documental de las comunicaciones enviadas por la ciudadanía y recepcionadas de forma presencial </t>
  </si>
  <si>
    <t xml:space="preserve">Realizar transmisiones en vivo a través de nuestras redes sociales fortaleciendo la relación de la entidad con la ciudadanía, permitiendo una comunicación directa y en tiempo real.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</si>
</sst>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
    <numFmt numFmtId="169" formatCode="[$-409]mmmmm;@"/>
    <numFmt numFmtId="170" formatCode="[$-C0A]mmmmm;@"/>
  </numFmts>
  <fonts count="30">
    <font>
      <sz val="11"/>
      <color theme="1"/>
      <name val="Arial"/>
      <family val="2"/>
      <scheme val="minor"/>
    </font>
    <font>
      <sz val="11"/>
      <color theme="1"/>
      <name val="Arial"/>
      <family val="2"/>
      <charset val="134"/>
      <scheme val="minor"/>
    </font>
    <font>
      <sz val="11"/>
      <color theme="1"/>
      <name val="Arial"/>
      <family val="2"/>
      <scheme val="minor"/>
    </font>
    <font>
      <sz val="8"/>
      <name val="Arial"/>
      <family val="2"/>
      <scheme val="minor"/>
    </font>
    <font>
      <sz val="12"/>
      <color theme="1" tint="0.249977111117893"/>
      <name val="Arial"/>
      <family val="2"/>
      <scheme val="minor"/>
    </font>
    <font>
      <sz val="11"/>
      <color theme="0"/>
      <name val="Arial"/>
      <family val="2"/>
      <scheme val="minor"/>
    </font>
    <font>
      <b/>
      <sz val="24"/>
      <color theme="4" tint="-0.499984740745262"/>
      <name val="Arial"/>
      <family val="2"/>
      <scheme val="minor"/>
    </font>
    <font>
      <b/>
      <sz val="17"/>
      <color theme="4" tint="-0.499984740745262"/>
      <name val="Arial"/>
      <family val="2"/>
      <scheme val="minor"/>
    </font>
    <font>
      <b/>
      <sz val="12"/>
      <color theme="4" tint="-0.499984740745262"/>
      <name val="Arial"/>
      <family val="2"/>
      <scheme val="minor"/>
    </font>
    <font>
      <b/>
      <sz val="11"/>
      <color theme="4" tint="-0.499984740745262"/>
      <name val="Arial"/>
      <family val="2"/>
      <scheme val="minor"/>
    </font>
    <font>
      <b/>
      <sz val="11"/>
      <color theme="1"/>
      <name val="Arial"/>
      <family val="2"/>
      <scheme val="minor"/>
    </font>
    <font>
      <b/>
      <sz val="18"/>
      <color theme="4" tint="-0.499984740745262"/>
      <name val="Arial"/>
      <family val="2"/>
      <scheme val="major"/>
    </font>
    <font>
      <sz val="11"/>
      <name val="Arial"/>
      <family val="2"/>
      <scheme val="minor"/>
    </font>
    <font>
      <sz val="11"/>
      <color rgb="FF006100"/>
      <name val="Arial"/>
      <family val="2"/>
      <charset val="134"/>
      <scheme val="minor"/>
    </font>
    <font>
      <sz val="11"/>
      <color rgb="FF9C0006"/>
      <name val="Arial"/>
      <family val="2"/>
      <charset val="134"/>
      <scheme val="minor"/>
    </font>
    <font>
      <sz val="11"/>
      <color rgb="FF9C5700"/>
      <name val="Arial"/>
      <family val="2"/>
      <charset val="134"/>
      <scheme val="minor"/>
    </font>
    <font>
      <sz val="11"/>
      <color rgb="FF3F3F76"/>
      <name val="Arial"/>
      <family val="2"/>
      <charset val="134"/>
      <scheme val="minor"/>
    </font>
    <font>
      <b/>
      <sz val="11"/>
      <color rgb="FF3F3F3F"/>
      <name val="Arial"/>
      <family val="2"/>
      <charset val="134"/>
      <scheme val="minor"/>
    </font>
    <font>
      <b/>
      <sz val="11"/>
      <color rgb="FFFA7D00"/>
      <name val="Arial"/>
      <family val="2"/>
      <charset val="134"/>
      <scheme val="minor"/>
    </font>
    <font>
      <sz val="11"/>
      <color rgb="FFFA7D00"/>
      <name val="Arial"/>
      <family val="2"/>
      <charset val="134"/>
      <scheme val="minor"/>
    </font>
    <font>
      <b/>
      <sz val="11"/>
      <color theme="0"/>
      <name val="Arial"/>
      <family val="2"/>
      <charset val="134"/>
      <scheme val="minor"/>
    </font>
    <font>
      <sz val="11"/>
      <color rgb="FFFF0000"/>
      <name val="Arial"/>
      <family val="2"/>
      <charset val="134"/>
      <scheme val="minor"/>
    </font>
    <font>
      <i/>
      <sz val="11"/>
      <color rgb="FF7F7F7F"/>
      <name val="Arial"/>
      <family val="2"/>
      <charset val="134"/>
      <scheme val="minor"/>
    </font>
    <font>
      <b/>
      <sz val="11"/>
      <color theme="1"/>
      <name val="Arial"/>
      <family val="2"/>
      <charset val="134"/>
      <scheme val="minor"/>
    </font>
    <font>
      <sz val="11"/>
      <color theme="0"/>
      <name val="Arial"/>
      <family val="2"/>
      <charset val="134"/>
      <scheme val="minor"/>
    </font>
    <font>
      <b/>
      <sz val="24"/>
      <name val="Arial"/>
      <family val="2"/>
      <scheme val="minor"/>
    </font>
    <font>
      <b/>
      <sz val="17"/>
      <name val="Arial"/>
      <family val="2"/>
      <scheme val="minor"/>
    </font>
    <font>
      <b/>
      <sz val="18"/>
      <color theme="0" tint="-4.9989318521683403E-2"/>
      <name val="Arial"/>
      <family val="2"/>
      <scheme val="major"/>
    </font>
    <font>
      <b/>
      <sz val="24"/>
      <name val="Arial"/>
      <family val="2"/>
      <scheme val="major"/>
    </font>
    <font>
      <sz val="12"/>
      <color theme="0"/>
      <name val="Arial"/>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4"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3">
    <border>
      <left/>
      <right/>
      <top/>
      <bottom/>
      <diagonal/>
    </border>
    <border>
      <left style="thin">
        <color theme="4" tint="0.79998168889431442"/>
      </left>
      <right style="thin">
        <color theme="0"/>
      </right>
      <top/>
      <bottom/>
      <diagonal/>
    </border>
    <border>
      <left style="thin">
        <color theme="0"/>
      </left>
      <right/>
      <top/>
      <bottom/>
      <diagonal/>
    </border>
    <border>
      <left style="thin">
        <color rgb="FFB2B2B2"/>
      </left>
      <right style="thin">
        <color rgb="FFB2B2B2"/>
      </right>
      <top style="thin">
        <color rgb="FFB2B2B2"/>
      </top>
      <bottom style="thin">
        <color rgb="FFB2B2B2"/>
      </bottom>
      <diagonal/>
    </border>
    <border>
      <left/>
      <right/>
      <top style="thin">
        <color theme="4" tint="-0.499984740745262"/>
      </top>
      <bottom/>
      <diagonal/>
    </border>
    <border>
      <left/>
      <right/>
      <top/>
      <bottom style="thin">
        <color theme="4" tint="-0.499984740745262"/>
      </bottom>
      <diagonal/>
    </border>
    <border>
      <left style="thin">
        <color theme="4" tint="0.79998168889431442"/>
      </left>
      <right/>
      <top/>
      <bottom/>
      <diagonal/>
    </border>
    <border>
      <left/>
      <right style="thin">
        <color theme="4" tint="-0.499984740745262"/>
      </right>
      <top/>
      <bottom/>
      <diagonal/>
    </border>
    <border>
      <left style="thin">
        <color theme="0"/>
      </left>
      <right style="thin">
        <color theme="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theme="3"/>
      </bottom>
      <diagonal/>
    </border>
    <border>
      <left/>
      <right style="thin">
        <color theme="4" tint="-0.499984740745262"/>
      </right>
      <top/>
      <bottom style="thin">
        <color theme="3"/>
      </bottom>
      <diagonal/>
    </border>
    <border>
      <left style="thin">
        <color theme="4" tint="-0.499984740745262"/>
      </left>
      <right/>
      <top/>
      <bottom style="thin">
        <color theme="3"/>
      </bottom>
      <diagonal/>
    </border>
    <border>
      <left style="thin">
        <color theme="4" tint="-0.499984740745262"/>
      </left>
      <right/>
      <top/>
      <bottom/>
      <diagonal/>
    </border>
    <border>
      <left/>
      <right style="thin">
        <color theme="0"/>
      </right>
      <top/>
      <bottom/>
      <diagonal/>
    </border>
    <border>
      <left style="thin">
        <color theme="0"/>
      </left>
      <right style="thin">
        <color theme="0"/>
      </right>
      <top/>
      <bottom style="thin">
        <color theme="3"/>
      </bottom>
      <diagonal/>
    </border>
    <border>
      <left style="thin">
        <color theme="0"/>
      </left>
      <right/>
      <top/>
      <bottom style="thin">
        <color theme="3"/>
      </bottom>
      <diagonal/>
    </border>
    <border>
      <left/>
      <right style="thin">
        <color theme="0"/>
      </right>
      <top/>
      <bottom style="thin">
        <color theme="3"/>
      </bottom>
      <diagonal/>
    </border>
    <border>
      <left style="thin">
        <color theme="4" tint="-0.499984740745262"/>
      </left>
      <right/>
      <top style="thin">
        <color theme="5" tint="-0.499984740745262"/>
      </top>
      <bottom style="thin">
        <color theme="3"/>
      </bottom>
      <diagonal/>
    </border>
  </borders>
  <cellStyleXfs count="57">
    <xf numFmtId="0" fontId="0" fillId="0" borderId="0">
      <alignment wrapText="1"/>
    </xf>
    <xf numFmtId="0" fontId="11" fillId="0" borderId="0" applyFill="0" applyBorder="0" applyProtection="0">
      <alignment horizontal="center" vertical="center"/>
    </xf>
    <xf numFmtId="169" fontId="6" fillId="0" borderId="0" applyFill="0" applyBorder="0" applyProtection="0">
      <alignment horizontal="center" vertical="center"/>
    </xf>
    <xf numFmtId="0" fontId="7" fillId="0" borderId="0" applyFill="0" applyProtection="0">
      <alignment horizontal="left" vertical="center" indent="2"/>
    </xf>
    <xf numFmtId="0" fontId="8" fillId="0" borderId="0" applyNumberFormat="0" applyFill="0" applyBorder="0" applyProtection="0">
      <alignment horizontal="left" vertical="center"/>
    </xf>
    <xf numFmtId="0" fontId="8" fillId="0" borderId="0" applyFill="0" applyBorder="0" applyProtection="0"/>
    <xf numFmtId="167" fontId="2" fillId="0" borderId="0" applyFill="0" applyBorder="0" applyAlignment="0" applyProtection="0"/>
    <xf numFmtId="166" fontId="2" fillId="0" borderId="0" applyFill="0" applyBorder="0" applyAlignment="0" applyProtection="0"/>
    <xf numFmtId="165" fontId="2" fillId="0" borderId="0" applyFill="0" applyBorder="0" applyAlignment="0" applyProtection="0"/>
    <xf numFmtId="164" fontId="2" fillId="0" borderId="0" applyFill="0" applyBorder="0" applyAlignment="0" applyProtection="0"/>
    <xf numFmtId="9" fontId="2" fillId="0" borderId="0" applyFill="0" applyBorder="0" applyAlignment="0" applyProtection="0"/>
    <xf numFmtId="0" fontId="2" fillId="3" borderId="3" applyNumberFormat="0" applyAlignment="0" applyProtection="0"/>
    <xf numFmtId="0" fontId="5" fillId="4" borderId="1">
      <alignment horizontal="left" indent="1"/>
    </xf>
    <xf numFmtId="0" fontId="9" fillId="0" borderId="0">
      <alignment vertical="center"/>
    </xf>
    <xf numFmtId="0" fontId="9" fillId="0" borderId="4" applyNumberFormat="0" applyFont="0" applyFill="0" applyAlignment="0" applyProtection="0">
      <alignment horizontal="left" vertical="center" indent="2"/>
    </xf>
    <xf numFmtId="1" fontId="10" fillId="0" borderId="0" applyFill="0" applyBorder="0">
      <alignment horizontal="center"/>
    </xf>
    <xf numFmtId="0" fontId="12" fillId="0" borderId="5" applyNumberFormat="0" applyFont="0" applyFill="0" applyAlignment="0" applyProtection="0">
      <alignment horizontal="center"/>
    </xf>
    <xf numFmtId="0" fontId="12" fillId="0" borderId="7" applyNumberFormat="0" applyFont="0" applyFill="0" applyAlignment="0" applyProtection="0"/>
    <xf numFmtId="168" fontId="4" fillId="0" borderId="0" applyFill="0" applyBorder="0">
      <alignment horizontal="left" vertical="center" indent="1"/>
    </xf>
    <xf numFmtId="0" fontId="12" fillId="2" borderId="0" applyFont="0" applyBorder="0">
      <alignment horizontal="left" vertical="top" indent="1"/>
    </xf>
    <xf numFmtId="0" fontId="5" fillId="0" borderId="0" applyNumberFormat="0" applyFill="0" applyBorder="0" applyAlignment="0">
      <alignment wrapText="1"/>
    </xf>
    <xf numFmtId="20" fontId="12" fillId="2" borderId="0" applyFill="0" applyBorder="0">
      <alignment horizontal="left" indent="1"/>
    </xf>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9" applyNumberFormat="0" applyAlignment="0" applyProtection="0"/>
    <xf numFmtId="0" fontId="17" fillId="9" borderId="10" applyNumberFormat="0" applyAlignment="0" applyProtection="0"/>
    <xf numFmtId="0" fontId="18" fillId="9" borderId="9" applyNumberFormat="0" applyAlignment="0" applyProtection="0"/>
    <xf numFmtId="0" fontId="19" fillId="0" borderId="11" applyNumberFormat="0" applyFill="0" applyAlignment="0" applyProtection="0"/>
    <xf numFmtId="0" fontId="20" fillId="10" borderId="1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73">
    <xf numFmtId="0" fontId="0" fillId="0" borderId="0" xfId="0">
      <alignment wrapText="1"/>
    </xf>
    <xf numFmtId="0" fontId="8" fillId="0" borderId="5" xfId="16" applyFont="1" applyAlignment="1"/>
    <xf numFmtId="1" fontId="10" fillId="0" borderId="0" xfId="15">
      <alignment horizontal="center"/>
    </xf>
    <xf numFmtId="0" fontId="8" fillId="0" borderId="4" xfId="14" applyFont="1" applyAlignment="1">
      <alignment vertical="center"/>
    </xf>
    <xf numFmtId="0" fontId="9" fillId="0" borderId="0" xfId="13">
      <alignment vertical="center"/>
    </xf>
    <xf numFmtId="0" fontId="4" fillId="0" borderId="4" xfId="14" applyNumberFormat="1" applyFont="1" applyAlignment="1">
      <alignment horizontal="left" vertical="center" indent="1"/>
    </xf>
    <xf numFmtId="0" fontId="0" fillId="0" borderId="0" xfId="14" applyFont="1" applyBorder="1" applyAlignment="1">
      <alignment wrapText="1"/>
    </xf>
    <xf numFmtId="0" fontId="8" fillId="0" borderId="0" xfId="5"/>
    <xf numFmtId="0" fontId="11" fillId="0" borderId="0" xfId="1">
      <alignment horizontal="center" vertical="center"/>
    </xf>
    <xf numFmtId="0" fontId="0" fillId="0" borderId="7" xfId="17" applyFont="1" applyAlignment="1">
      <alignment wrapText="1"/>
    </xf>
    <xf numFmtId="0" fontId="0" fillId="0" borderId="0" xfId="0" applyAlignment="1">
      <alignment horizontal="left" wrapText="1"/>
    </xf>
    <xf numFmtId="0" fontId="8" fillId="0" borderId="0" xfId="4">
      <alignment horizontal="left" vertical="center"/>
    </xf>
    <xf numFmtId="0" fontId="0" fillId="0" borderId="5" xfId="16" applyFont="1" applyAlignment="1">
      <alignment wrapText="1"/>
    </xf>
    <xf numFmtId="0" fontId="0" fillId="0" borderId="5" xfId="16" applyFont="1" applyAlignment="1">
      <alignment horizontal="left" wrapText="1"/>
    </xf>
    <xf numFmtId="1" fontId="10" fillId="0" borderId="5" xfId="15" applyBorder="1">
      <alignment horizontal="center"/>
    </xf>
    <xf numFmtId="0" fontId="5" fillId="0" borderId="0" xfId="20">
      <alignment wrapText="1"/>
    </xf>
    <xf numFmtId="0" fontId="8" fillId="0" borderId="5" xfId="5" applyBorder="1"/>
    <xf numFmtId="1" fontId="10" fillId="0" borderId="4" xfId="15" applyBorder="1">
      <alignment horizontal="center"/>
    </xf>
    <xf numFmtId="0" fontId="5" fillId="0" borderId="7" xfId="20" applyBorder="1" applyAlignment="1">
      <alignment wrapText="1"/>
    </xf>
    <xf numFmtId="0" fontId="8" fillId="0" borderId="4" xfId="5" applyBorder="1"/>
    <xf numFmtId="14" fontId="12" fillId="0" borderId="5" xfId="16" applyNumberFormat="1" applyFill="1" applyAlignment="1">
      <alignment horizontal="left" indent="1"/>
    </xf>
    <xf numFmtId="168" fontId="4" fillId="0" borderId="0" xfId="18" applyFill="1" applyBorder="1">
      <alignment horizontal="left" vertical="center" indent="1"/>
    </xf>
    <xf numFmtId="168" fontId="4" fillId="0" borderId="5" xfId="18" applyFill="1" applyBorder="1">
      <alignment horizontal="left" vertical="center" indent="1"/>
    </xf>
    <xf numFmtId="1" fontId="10" fillId="0" borderId="5" xfId="15" applyFill="1" applyBorder="1">
      <alignment horizontal="center"/>
    </xf>
    <xf numFmtId="170" fontId="25" fillId="0" borderId="0" xfId="2" applyNumberFormat="1" applyFont="1">
      <alignment horizontal="center" vertical="center"/>
    </xf>
    <xf numFmtId="0" fontId="26" fillId="0" borderId="0" xfId="3" applyFont="1">
      <alignment horizontal="left" vertical="center" indent="2"/>
    </xf>
    <xf numFmtId="0" fontId="27" fillId="0" borderId="5" xfId="1" applyFont="1" applyBorder="1">
      <alignment horizontal="center" vertical="center"/>
    </xf>
    <xf numFmtId="0" fontId="28" fillId="0" borderId="4" xfId="1" applyFont="1" applyBorder="1">
      <alignment horizontal="center" vertical="center"/>
    </xf>
    <xf numFmtId="170" fontId="25" fillId="0" borderId="4" xfId="2" applyNumberFormat="1" applyFont="1" applyBorder="1">
      <alignment horizontal="center" vertical="center"/>
    </xf>
    <xf numFmtId="170" fontId="25" fillId="0" borderId="4" xfId="14" applyNumberFormat="1" applyFont="1" applyAlignment="1">
      <alignment horizontal="center" vertical="center"/>
    </xf>
    <xf numFmtId="168" fontId="29" fillId="35" borderId="0" xfId="18" applyFont="1" applyFill="1" applyBorder="1">
      <alignment horizontal="left" vertical="center" indent="1"/>
    </xf>
    <xf numFmtId="168" fontId="4" fillId="35" borderId="0" xfId="18" applyFill="1" applyBorder="1">
      <alignment horizontal="left" vertical="center" indent="1"/>
    </xf>
    <xf numFmtId="0" fontId="0" fillId="0" borderId="0" xfId="0" applyAlignment="1">
      <alignment vertical="top" wrapText="1"/>
    </xf>
    <xf numFmtId="20" fontId="12" fillId="35" borderId="0" xfId="21" applyFill="1">
      <alignment horizontal="left" indent="1"/>
    </xf>
    <xf numFmtId="20" fontId="12" fillId="35" borderId="7" xfId="21" applyFill="1" applyBorder="1">
      <alignment horizontal="left" indent="1"/>
    </xf>
    <xf numFmtId="0" fontId="0" fillId="35" borderId="0" xfId="19" applyFont="1" applyFill="1">
      <alignment horizontal="left" vertical="top" indent="1"/>
    </xf>
    <xf numFmtId="0" fontId="2" fillId="35" borderId="0" xfId="19" applyFont="1" applyFill="1">
      <alignment horizontal="left" vertical="top" indent="1"/>
    </xf>
    <xf numFmtId="0" fontId="2" fillId="35" borderId="7" xfId="19" applyFont="1" applyFill="1" applyBorder="1">
      <alignment horizontal="left" vertical="top" indent="1"/>
    </xf>
    <xf numFmtId="0" fontId="5" fillId="35" borderId="7" xfId="17" applyFont="1" applyFill="1" applyAlignment="1">
      <alignment horizontal="left" indent="1"/>
    </xf>
    <xf numFmtId="0" fontId="5" fillId="35" borderId="6" xfId="12" applyFill="1" applyBorder="1">
      <alignment horizontal="left" indent="1"/>
    </xf>
    <xf numFmtId="20" fontId="12" fillId="35" borderId="2" xfId="21" applyFill="1" applyBorder="1">
      <alignment horizontal="left" indent="1"/>
    </xf>
    <xf numFmtId="20" fontId="5" fillId="35" borderId="0" xfId="21" applyFont="1" applyFill="1">
      <alignment horizontal="left" indent="1"/>
    </xf>
    <xf numFmtId="20" fontId="5" fillId="35" borderId="2" xfId="21" applyFont="1" applyFill="1" applyBorder="1">
      <alignment horizontal="left" indent="1"/>
    </xf>
    <xf numFmtId="0" fontId="5" fillId="35" borderId="0" xfId="19" applyFont="1" applyFill="1">
      <alignment horizontal="left" vertical="top" indent="1"/>
    </xf>
    <xf numFmtId="0" fontId="0" fillId="0" borderId="0" xfId="0" applyAlignment="1">
      <alignment vertical="center" wrapText="1"/>
    </xf>
    <xf numFmtId="1" fontId="10" fillId="0" borderId="4" xfId="15" applyBorder="1" applyAlignment="1">
      <alignment horizontal="center" vertical="center"/>
    </xf>
    <xf numFmtId="1" fontId="10" fillId="35" borderId="0" xfId="15" applyFill="1" applyAlignment="1">
      <alignment horizontal="center" vertical="center"/>
    </xf>
    <xf numFmtId="0" fontId="8" fillId="0" borderId="0" xfId="5" applyAlignment="1">
      <alignment horizontal="center" vertical="center"/>
    </xf>
    <xf numFmtId="1" fontId="10" fillId="0" borderId="5" xfId="15" applyBorder="1" applyAlignment="1">
      <alignment horizontal="center" vertical="center"/>
    </xf>
    <xf numFmtId="1" fontId="10" fillId="0" borderId="0" xfId="15" applyAlignment="1">
      <alignment horizontal="center" vertical="center"/>
    </xf>
    <xf numFmtId="20" fontId="12" fillId="35" borderId="16" xfId="21" applyFill="1" applyBorder="1">
      <alignment horizontal="left" indent="1"/>
    </xf>
    <xf numFmtId="20" fontId="12" fillId="35" borderId="15" xfId="21" applyFill="1" applyBorder="1">
      <alignment horizontal="left" indent="1"/>
    </xf>
    <xf numFmtId="20" fontId="12" fillId="35" borderId="20" xfId="21" applyFill="1" applyBorder="1">
      <alignment horizontal="left" indent="1"/>
    </xf>
    <xf numFmtId="20" fontId="5" fillId="35" borderId="16" xfId="21" applyFont="1" applyFill="1" applyBorder="1">
      <alignment horizontal="left" indent="1"/>
    </xf>
    <xf numFmtId="20" fontId="5" fillId="35" borderId="20" xfId="21" applyFont="1" applyFill="1" applyBorder="1">
      <alignment horizontal="left" indent="1"/>
    </xf>
    <xf numFmtId="0" fontId="0" fillId="35" borderId="14" xfId="0" applyFill="1" applyBorder="1">
      <alignment wrapText="1"/>
    </xf>
    <xf numFmtId="0" fontId="5" fillId="35" borderId="0" xfId="12" applyFill="1" applyBorder="1">
      <alignment horizontal="left" indent="1"/>
    </xf>
    <xf numFmtId="20" fontId="12" fillId="35" borderId="8" xfId="21" applyFill="1" applyBorder="1">
      <alignment horizontal="left" indent="1"/>
    </xf>
    <xf numFmtId="0" fontId="2" fillId="35" borderId="0" xfId="19" applyFont="1" applyFill="1">
      <alignment horizontal="left" vertical="top" indent="1"/>
    </xf>
    <xf numFmtId="20" fontId="12" fillId="35" borderId="2" xfId="21" applyFill="1" applyBorder="1">
      <alignment horizontal="left" indent="1"/>
    </xf>
    <xf numFmtId="20" fontId="12" fillId="35" borderId="18" xfId="21" applyFill="1" applyBorder="1">
      <alignment horizontal="left" indent="1"/>
    </xf>
    <xf numFmtId="20" fontId="12" fillId="35" borderId="19" xfId="21" applyFill="1" applyBorder="1">
      <alignment horizontal="left" indent="1"/>
    </xf>
    <xf numFmtId="20" fontId="12" fillId="35" borderId="7" xfId="21" applyFill="1" applyBorder="1">
      <alignment horizontal="left" indent="1"/>
    </xf>
    <xf numFmtId="20" fontId="12" fillId="35" borderId="17" xfId="21" applyFill="1" applyBorder="1">
      <alignment horizontal="left" indent="1"/>
    </xf>
    <xf numFmtId="20" fontId="12" fillId="35" borderId="14" xfId="21" applyFill="1" applyBorder="1">
      <alignment horizontal="left" indent="1"/>
    </xf>
    <xf numFmtId="20" fontId="5" fillId="35" borderId="2" xfId="21" applyFont="1" applyFill="1" applyBorder="1">
      <alignment horizontal="left" indent="1"/>
    </xf>
    <xf numFmtId="20" fontId="5" fillId="35" borderId="18" xfId="21" applyFont="1" applyFill="1" applyBorder="1">
      <alignment horizontal="left" indent="1"/>
    </xf>
    <xf numFmtId="0" fontId="5" fillId="35" borderId="0" xfId="19" applyFont="1" applyFill="1">
      <alignment horizontal="left" vertical="top" indent="1"/>
    </xf>
    <xf numFmtId="20" fontId="5" fillId="35" borderId="20" xfId="21" applyFont="1" applyFill="1" applyBorder="1">
      <alignment horizontal="left" indent="1"/>
    </xf>
    <xf numFmtId="20" fontId="5" fillId="35" borderId="21" xfId="21" applyFont="1" applyFill="1" applyBorder="1">
      <alignment horizontal="left" indent="1"/>
    </xf>
    <xf numFmtId="20" fontId="12" fillId="35" borderId="0" xfId="21" applyFill="1">
      <alignment horizontal="left" indent="1"/>
    </xf>
    <xf numFmtId="0" fontId="0" fillId="35" borderId="22" xfId="0" applyFill="1" applyBorder="1">
      <alignment wrapText="1"/>
    </xf>
    <xf numFmtId="0" fontId="2" fillId="35" borderId="0" xfId="19" applyFont="1" applyFill="1" applyBorder="1">
      <alignment horizontal="left" vertical="top" indent="1"/>
    </xf>
  </cellXfs>
  <cellStyles count="57">
    <cellStyle name="20% - Énfasis1" xfId="34" builtinId="30" customBuiltin="1"/>
    <cellStyle name="20% - Énfasis2" xfId="38" builtinId="34" customBuiltin="1"/>
    <cellStyle name="20% - Énfasis3" xfId="42" builtinId="38" customBuiltin="1"/>
    <cellStyle name="20% - Énfasis4" xfId="46" builtinId="42" customBuiltin="1"/>
    <cellStyle name="20% - Énfasis5" xfId="50" builtinId="46" customBuiltin="1"/>
    <cellStyle name="20% - Énfasis6" xfId="54" builtinId="50" customBuiltin="1"/>
    <cellStyle name="40% - Énfasis1" xfId="35" builtinId="31" customBuiltin="1"/>
    <cellStyle name="40% - Énfasis2" xfId="39" builtinId="35" customBuiltin="1"/>
    <cellStyle name="40% - Énfasis3" xfId="43" builtinId="39" customBuiltin="1"/>
    <cellStyle name="40% - Énfasis4" xfId="47" builtinId="43" customBuiltin="1"/>
    <cellStyle name="40% - Énfasis5" xfId="51" builtinId="47" customBuiltin="1"/>
    <cellStyle name="40% - Énfasis6" xfId="55" builtinId="51" customBuiltin="1"/>
    <cellStyle name="60% - Énfasis1" xfId="36" builtinId="32" customBuiltin="1"/>
    <cellStyle name="60% - Énfasis2" xfId="40" builtinId="36" customBuiltin="1"/>
    <cellStyle name="60% - Énfasis3" xfId="44" builtinId="40" customBuiltin="1"/>
    <cellStyle name="60% - Énfasis4" xfId="48" builtinId="44" customBuiltin="1"/>
    <cellStyle name="60% - Énfasis5" xfId="52" builtinId="48" customBuiltin="1"/>
    <cellStyle name="60% - Énfasis6" xfId="56" builtinId="52" customBuiltin="1"/>
    <cellStyle name="Alineación del calendario" xfId="18" xr:uid="{00000000-0005-0000-0000-000001000000}"/>
    <cellStyle name="Borde derecho" xfId="17" xr:uid="{00000000-0005-0000-0000-00000F000000}"/>
    <cellStyle name="Borde inferior" xfId="16" xr:uid="{00000000-0005-0000-0000-000000000000}"/>
    <cellStyle name="Borde superior" xfId="14" xr:uid="{00000000-0005-0000-0000-000013000000}"/>
    <cellStyle name="Bueno" xfId="22" builtinId="26" customBuiltin="1"/>
    <cellStyle name="Cálculo" xfId="27" builtinId="22" customBuiltin="1"/>
    <cellStyle name="Celda de comprobación" xfId="29" builtinId="23" customBuiltin="1"/>
    <cellStyle name="Celda vinculada" xfId="28" builtinId="24" customBuiltin="1"/>
    <cellStyle name="Días de la semana" xfId="12" xr:uid="{00000000-0005-0000-0000-000014000000}"/>
    <cellStyle name="Encabezado 1" xfId="2" builtinId="16" customBuiltin="1"/>
    <cellStyle name="Encabezado 4" xfId="5" builtinId="19" customBuiltin="1"/>
    <cellStyle name="Encabezado de la tabla en blanco" xfId="20" xr:uid="{00000000-0005-0000-0000-000010000000}"/>
    <cellStyle name="Énfasis1" xfId="33" builtinId="29" customBuiltin="1"/>
    <cellStyle name="Énfasis2" xfId="37" builtinId="33" customBuiltin="1"/>
    <cellStyle name="Énfasis3" xfId="41" builtinId="37" customBuiltin="1"/>
    <cellStyle name="Énfasis4" xfId="45" builtinId="41" customBuiltin="1"/>
    <cellStyle name="Énfasis5" xfId="49" builtinId="45" customBuiltin="1"/>
    <cellStyle name="Énfasis6" xfId="53" builtinId="49" customBuiltin="1"/>
    <cellStyle name="Entrada" xfId="25" builtinId="20" customBuiltin="1"/>
    <cellStyle name="Etiqueta" xfId="13" xr:uid="{00000000-0005-0000-0000-00000B000000}"/>
    <cellStyle name="Fecha" xfId="15" xr:uid="{00000000-0005-0000-0000-000006000000}"/>
    <cellStyle name="Hora" xfId="21" xr:uid="{00000000-0005-0000-0000-000011000000}"/>
    <cellStyle name="Incorrecto" xfId="23" builtinId="27" customBuiltin="1"/>
    <cellStyle name="Millares" xfId="6" builtinId="3" customBuiltin="1"/>
    <cellStyle name="Millares [0]" xfId="7" builtinId="6" customBuiltin="1"/>
    <cellStyle name="Moneda" xfId="8" builtinId="4" customBuiltin="1"/>
    <cellStyle name="Moneda [0]" xfId="9" builtinId="7" customBuiltin="1"/>
    <cellStyle name="Neutral" xfId="24" builtinId="28" customBuiltin="1"/>
    <cellStyle name="Normal" xfId="0" builtinId="0" customBuiltin="1"/>
    <cellStyle name="Notas" xfId="11" builtinId="10" customBuiltin="1"/>
    <cellStyle name="Porcentaje" xfId="10" builtinId="5" customBuiltin="1"/>
    <cellStyle name="Relleno de programación semanal" xfId="19" xr:uid="{00000000-0005-0000-0000-000015000000}"/>
    <cellStyle name="Salida" xfId="26" builtinId="21" customBuiltin="1"/>
    <cellStyle name="Texto de advertencia" xfId="30" builtinId="11" customBuiltin="1"/>
    <cellStyle name="Texto explicativo" xfId="31" builtinId="53" customBuiltin="1"/>
    <cellStyle name="Título" xfId="1" builtinId="15" customBuiltin="1"/>
    <cellStyle name="Título 2" xfId="3" builtinId="17" customBuiltin="1"/>
    <cellStyle name="Título 3" xfId="4" builtinId="18" customBuiltin="1"/>
    <cellStyle name="Total" xfId="32" builtinId="25" customBuiltin="1"/>
  </cellStyles>
  <dxfs count="88">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left style="thin">
          <color theme="0"/>
        </left>
        <bottom style="thin">
          <color theme="0"/>
        </bottom>
        <vertical/>
        <horizontal/>
      </border>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ill>
        <patternFill>
          <bgColor theme="4" tint="0.79998168889431442"/>
        </patternFill>
      </fill>
    </dxf>
    <dxf>
      <border>
        <bottom style="thin">
          <color theme="0"/>
        </bottom>
        <vertical/>
        <horizontal/>
      </border>
    </dxf>
    <dxf>
      <border>
        <left style="thin">
          <color theme="0"/>
        </left>
        <vertical/>
        <horizontal/>
      </border>
    </dxf>
    <dxf>
      <font>
        <b/>
        <i val="0"/>
      </font>
      <fill>
        <patternFill>
          <bgColor theme="4" tint="0.79998168889431442"/>
        </patternFill>
      </fill>
    </dxf>
    <dxf>
      <font>
        <color theme="0" tint="-0.24994659260841701"/>
      </font>
    </dxf>
    <dxf>
      <font>
        <b/>
        <i val="0"/>
        <color theme="1"/>
      </font>
      <fill>
        <patternFill patternType="solid">
          <bgColor theme="4" tint="0.79998168889431442"/>
        </patternFill>
      </fill>
      <border>
        <left/>
        <right/>
        <top/>
        <bottom/>
        <vertical/>
        <horizontal/>
      </border>
    </dxf>
    <dxf>
      <font>
        <color theme="0" tint="-0.24994659260841701"/>
      </font>
    </dxf>
    <dxf>
      <font>
        <b val="0"/>
        <i val="0"/>
      </font>
      <fill>
        <patternFill>
          <bgColor theme="4" tint="0.79998168889431442"/>
        </patternFill>
      </fill>
      <border>
        <vertical/>
        <horizontal/>
      </border>
    </dxf>
    <dxf>
      <border>
        <bottom style="thin">
          <color theme="0"/>
        </bottom>
        <vertical/>
        <horizontal/>
      </border>
    </dxf>
    <dxf>
      <border>
        <left style="thin">
          <color theme="0"/>
        </left>
        <vertical/>
        <horizontal/>
      </border>
    </dxf>
    <dxf>
      <font>
        <b/>
        <i val="0"/>
      </font>
      <fill>
        <patternFill>
          <bgColor theme="4" tint="0.79998168889431442"/>
        </patternFill>
      </fill>
    </dxf>
    <dxf>
      <font>
        <b/>
        <i val="0"/>
        <color theme="4" tint="-0.499984740745262"/>
      </font>
      <border diagonalUp="0" diagonalDown="0">
        <left style="thin">
          <color theme="4" tint="-0.499984740745262"/>
        </left>
        <right/>
        <top/>
        <bottom style="thin">
          <color theme="4" tint="-0.499984740745262"/>
        </bottom>
        <vertical/>
        <horizontal/>
      </border>
    </dxf>
    <dxf>
      <font>
        <b/>
        <i val="0"/>
        <color theme="4" tint="-0.499984740745262"/>
      </font>
      <border diagonalUp="0" diagonalDown="0">
        <left/>
        <right/>
        <top/>
        <bottom style="thin">
          <color theme="4" tint="-0.499984740745262"/>
        </bottom>
        <vertical/>
        <horizontal/>
      </border>
    </dxf>
    <dxf>
      <border>
        <left style="thin">
          <color theme="4" tint="-0.499984740745262"/>
        </left>
        <right style="thin">
          <color theme="4" tint="-0.499984740745262"/>
        </right>
        <top style="thin">
          <color theme="4" tint="-0.499984740745262"/>
        </top>
        <bottom style="thin">
          <color theme="4" tint="-0.499984740745262"/>
        </bottom>
        <horizontal style="thin">
          <color theme="5" tint="-0.499984740745262"/>
        </horizontal>
      </border>
    </dxf>
  </dxfs>
  <tableStyles count="1" defaultPivotStyle="PivotStyleLight16">
    <tableStyle name="Tareas" pivot="0" count="3" xr9:uid="{00000000-0011-0000-FFFF-FFFF00000000}">
      <tableStyleElement type="wholeTable" dxfId="87"/>
      <tableStyleElement type="headerRow" dxfId="86"/>
      <tableStyleElement type="firstColumn" dxfId="8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171450</xdr:rowOff>
    </xdr:from>
    <xdr:to>
      <xdr:col>9</xdr:col>
      <xdr:colOff>0</xdr:colOff>
      <xdr:row>2</xdr:row>
      <xdr:rowOff>283845</xdr:rowOff>
    </xdr:to>
    <xdr:grpSp>
      <xdr:nvGrpSpPr>
        <xdr:cNvPr id="9" name="Grupo 8">
          <a:extLst>
            <a:ext uri="{FF2B5EF4-FFF2-40B4-BE49-F238E27FC236}">
              <a16:creationId xmlns:a16="http://schemas.microsoft.com/office/drawing/2014/main" id="{5B90345D-AEBC-4E46-A464-7AA9136AD76D}"/>
            </a:ext>
          </a:extLst>
        </xdr:cNvPr>
        <xdr:cNvGrpSpPr/>
      </xdr:nvGrpSpPr>
      <xdr:grpSpPr>
        <a:xfrm>
          <a:off x="201083" y="167640"/>
          <a:ext cx="8043334" cy="882015"/>
          <a:chOff x="215265" y="131445"/>
          <a:chExt cx="8001000" cy="880110"/>
        </a:xfrm>
      </xdr:grpSpPr>
      <xdr:sp macro="" textlink="">
        <xdr:nvSpPr>
          <xdr:cNvPr id="10" name="CuadroTexto 9">
            <a:extLst>
              <a:ext uri="{FF2B5EF4-FFF2-40B4-BE49-F238E27FC236}">
                <a16:creationId xmlns:a16="http://schemas.microsoft.com/office/drawing/2014/main" id="{56020C6D-7D4B-151E-09BB-3DD65AAC4AC4}"/>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11" name="CuadroTexto 10">
            <a:extLst>
              <a:ext uri="{FF2B5EF4-FFF2-40B4-BE49-F238E27FC236}">
                <a16:creationId xmlns:a16="http://schemas.microsoft.com/office/drawing/2014/main" id="{F71FF125-B444-6CD1-3C94-F8E08B1B3B51}"/>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12" name="Imagen 11">
            <a:extLst>
              <a:ext uri="{FF2B5EF4-FFF2-40B4-BE49-F238E27FC236}">
                <a16:creationId xmlns:a16="http://schemas.microsoft.com/office/drawing/2014/main" id="{5D8F766D-AD2D-C523-D133-7B2D7D2AE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275166</xdr:colOff>
      <xdr:row>10</xdr:row>
      <xdr:rowOff>52916</xdr:rowOff>
    </xdr:from>
    <xdr:to>
      <xdr:col>6</xdr:col>
      <xdr:colOff>199662</xdr:colOff>
      <xdr:row>15</xdr:row>
      <xdr:rowOff>343535</xdr:rowOff>
    </xdr:to>
    <xdr:pic>
      <xdr:nvPicPr>
        <xdr:cNvPr id="7" name="Imagen 6">
          <a:extLst>
            <a:ext uri="{FF2B5EF4-FFF2-40B4-BE49-F238E27FC236}">
              <a16:creationId xmlns:a16="http://schemas.microsoft.com/office/drawing/2014/main" id="{5ECF15D1-86C8-4404-B04B-3B4C4B507ECD}"/>
            </a:ext>
          </a:extLst>
        </xdr:cNvPr>
        <xdr:cNvPicPr>
          <a:picLocks noChangeAspect="1"/>
        </xdr:cNvPicPr>
      </xdr:nvPicPr>
      <xdr:blipFill rotWithShape="1">
        <a:blip xmlns:r="http://schemas.openxmlformats.org/officeDocument/2006/relationships" r:embed="rId2"/>
        <a:srcRect t="3270"/>
        <a:stretch>
          <a:fillRect/>
        </a:stretch>
      </xdr:blipFill>
      <xdr:spPr>
        <a:xfrm>
          <a:off x="2868083" y="3862916"/>
          <a:ext cx="2367341" cy="21956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20955</xdr:colOff>
      <xdr:row>0</xdr:row>
      <xdr:rowOff>169545</xdr:rowOff>
    </xdr:from>
    <xdr:to>
      <xdr:col>9</xdr:col>
      <xdr:colOff>20955</xdr:colOff>
      <xdr:row>2</xdr:row>
      <xdr:rowOff>295275</xdr:rowOff>
    </xdr:to>
    <xdr:grpSp>
      <xdr:nvGrpSpPr>
        <xdr:cNvPr id="2" name="Grupo 1">
          <a:extLst>
            <a:ext uri="{FF2B5EF4-FFF2-40B4-BE49-F238E27FC236}">
              <a16:creationId xmlns:a16="http://schemas.microsoft.com/office/drawing/2014/main" id="{B5ABA464-B802-41C1-B701-2FC72B71A79D}"/>
            </a:ext>
          </a:extLst>
        </xdr:cNvPr>
        <xdr:cNvGrpSpPr/>
      </xdr:nvGrpSpPr>
      <xdr:grpSpPr>
        <a:xfrm>
          <a:off x="218228" y="173355"/>
          <a:ext cx="8043334" cy="882015"/>
          <a:chOff x="215265" y="131445"/>
          <a:chExt cx="8001000" cy="880110"/>
        </a:xfrm>
      </xdr:grpSpPr>
      <xdr:sp macro="" textlink="">
        <xdr:nvSpPr>
          <xdr:cNvPr id="3" name="CuadroTexto 2">
            <a:extLst>
              <a:ext uri="{FF2B5EF4-FFF2-40B4-BE49-F238E27FC236}">
                <a16:creationId xmlns:a16="http://schemas.microsoft.com/office/drawing/2014/main" id="{D47E5DB1-85F1-DD09-8DE1-8A029FA2BB0A}"/>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41A6AED2-E33C-3F44-87EB-E65ECB84842F}"/>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F67F6102-A60C-ADEA-ECAE-2369A9423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468613</xdr:colOff>
      <xdr:row>10</xdr:row>
      <xdr:rowOff>172312</xdr:rowOff>
    </xdr:from>
    <xdr:to>
      <xdr:col>6</xdr:col>
      <xdr:colOff>66675</xdr:colOff>
      <xdr:row>15</xdr:row>
      <xdr:rowOff>179368</xdr:rowOff>
    </xdr:to>
    <xdr:pic>
      <xdr:nvPicPr>
        <xdr:cNvPr id="8" name="Imagen 7">
          <a:extLst>
            <a:ext uri="{FF2B5EF4-FFF2-40B4-BE49-F238E27FC236}">
              <a16:creationId xmlns:a16="http://schemas.microsoft.com/office/drawing/2014/main" id="{243AFFC2-B46F-C762-50E8-285CAA2915B8}"/>
            </a:ext>
          </a:extLst>
        </xdr:cNvPr>
        <xdr:cNvPicPr>
          <a:picLocks noChangeAspect="1"/>
        </xdr:cNvPicPr>
      </xdr:nvPicPr>
      <xdr:blipFill>
        <a:blip xmlns:r="http://schemas.openxmlformats.org/officeDocument/2006/relationships" r:embed="rId2"/>
        <a:stretch>
          <a:fillRect/>
        </a:stretch>
      </xdr:blipFill>
      <xdr:spPr>
        <a:xfrm>
          <a:off x="3049888" y="3982312"/>
          <a:ext cx="2026937" cy="19120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0</xdr:row>
      <xdr:rowOff>167640</xdr:rowOff>
    </xdr:from>
    <xdr:to>
      <xdr:col>9</xdr:col>
      <xdr:colOff>9525</xdr:colOff>
      <xdr:row>2</xdr:row>
      <xdr:rowOff>291465</xdr:rowOff>
    </xdr:to>
    <xdr:grpSp>
      <xdr:nvGrpSpPr>
        <xdr:cNvPr id="2" name="Grupo 1">
          <a:extLst>
            <a:ext uri="{FF2B5EF4-FFF2-40B4-BE49-F238E27FC236}">
              <a16:creationId xmlns:a16="http://schemas.microsoft.com/office/drawing/2014/main" id="{5B1D3BAF-7896-4FFF-BBD7-6263497769FE}"/>
            </a:ext>
          </a:extLst>
        </xdr:cNvPr>
        <xdr:cNvGrpSpPr/>
      </xdr:nvGrpSpPr>
      <xdr:grpSpPr>
        <a:xfrm>
          <a:off x="212513" y="171450"/>
          <a:ext cx="8043334" cy="878205"/>
          <a:chOff x="215265" y="131445"/>
          <a:chExt cx="8001000" cy="880110"/>
        </a:xfrm>
      </xdr:grpSpPr>
      <xdr:sp macro="" textlink="">
        <xdr:nvSpPr>
          <xdr:cNvPr id="3" name="CuadroTexto 2">
            <a:extLst>
              <a:ext uri="{FF2B5EF4-FFF2-40B4-BE49-F238E27FC236}">
                <a16:creationId xmlns:a16="http://schemas.microsoft.com/office/drawing/2014/main" id="{9B850308-0B0A-2C1D-28D3-945806771196}"/>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F567B105-C3EA-2147-4AEE-5F88398B4763}"/>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B1617F72-8921-5AF2-A945-FA04746ED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391134</xdr:colOff>
      <xdr:row>10</xdr:row>
      <xdr:rowOff>92761</xdr:rowOff>
    </xdr:from>
    <xdr:to>
      <xdr:col>6</xdr:col>
      <xdr:colOff>9525</xdr:colOff>
      <xdr:row>15</xdr:row>
      <xdr:rowOff>293659</xdr:rowOff>
    </xdr:to>
    <xdr:pic>
      <xdr:nvPicPr>
        <xdr:cNvPr id="6" name="Imagen 5">
          <a:extLst>
            <a:ext uri="{FF2B5EF4-FFF2-40B4-BE49-F238E27FC236}">
              <a16:creationId xmlns:a16="http://schemas.microsoft.com/office/drawing/2014/main" id="{F4E2012C-4176-D97B-A05A-D5FA61893AE0}"/>
            </a:ext>
          </a:extLst>
        </xdr:cNvPr>
        <xdr:cNvPicPr>
          <a:picLocks noChangeAspect="1"/>
        </xdr:cNvPicPr>
      </xdr:nvPicPr>
      <xdr:blipFill>
        <a:blip xmlns:r="http://schemas.openxmlformats.org/officeDocument/2006/relationships" r:embed="rId2"/>
        <a:stretch>
          <a:fillRect/>
        </a:stretch>
      </xdr:blipFill>
      <xdr:spPr>
        <a:xfrm>
          <a:off x="2972409" y="3902761"/>
          <a:ext cx="2047266" cy="210589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xdr:colOff>
      <xdr:row>0</xdr:row>
      <xdr:rowOff>173355</xdr:rowOff>
    </xdr:from>
    <xdr:to>
      <xdr:col>9</xdr:col>
      <xdr:colOff>1905</xdr:colOff>
      <xdr:row>2</xdr:row>
      <xdr:rowOff>291465</xdr:rowOff>
    </xdr:to>
    <xdr:grpSp>
      <xdr:nvGrpSpPr>
        <xdr:cNvPr id="2" name="Grupo 1">
          <a:extLst>
            <a:ext uri="{FF2B5EF4-FFF2-40B4-BE49-F238E27FC236}">
              <a16:creationId xmlns:a16="http://schemas.microsoft.com/office/drawing/2014/main" id="{A8F7DAC5-84F3-4482-A7C1-1C37B832E7EF}"/>
            </a:ext>
          </a:extLst>
        </xdr:cNvPr>
        <xdr:cNvGrpSpPr/>
      </xdr:nvGrpSpPr>
      <xdr:grpSpPr>
        <a:xfrm>
          <a:off x="202988" y="169545"/>
          <a:ext cx="8043334" cy="880110"/>
          <a:chOff x="215265" y="131419"/>
          <a:chExt cx="8001000" cy="880408"/>
        </a:xfrm>
      </xdr:grpSpPr>
      <xdr:sp macro="" textlink="">
        <xdr:nvSpPr>
          <xdr:cNvPr id="3" name="CuadroTexto 2">
            <a:extLst>
              <a:ext uri="{FF2B5EF4-FFF2-40B4-BE49-F238E27FC236}">
                <a16:creationId xmlns:a16="http://schemas.microsoft.com/office/drawing/2014/main" id="{BEADD89A-0716-1644-915E-52F33E7E94E3}"/>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1DF1A127-0D09-8CBE-40DD-2C32217B4FF4}"/>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28F46889-33B8-405E-17BE-D7E265431D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19"/>
            <a:ext cx="1478744" cy="88040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404838</xdr:colOff>
      <xdr:row>10</xdr:row>
      <xdr:rowOff>76199</xdr:rowOff>
    </xdr:from>
    <xdr:to>
      <xdr:col>6</xdr:col>
      <xdr:colOff>342354</xdr:colOff>
      <xdr:row>15</xdr:row>
      <xdr:rowOff>294911</xdr:rowOff>
    </xdr:to>
    <xdr:pic>
      <xdr:nvPicPr>
        <xdr:cNvPr id="6" name="Imagen 5">
          <a:extLst>
            <a:ext uri="{FF2B5EF4-FFF2-40B4-BE49-F238E27FC236}">
              <a16:creationId xmlns:a16="http://schemas.microsoft.com/office/drawing/2014/main" id="{E0FAB9A0-DF40-5CEA-9728-B4238B855F46}"/>
            </a:ext>
          </a:extLst>
        </xdr:cNvPr>
        <xdr:cNvPicPr>
          <a:picLocks noChangeAspect="1"/>
        </xdr:cNvPicPr>
      </xdr:nvPicPr>
      <xdr:blipFill>
        <a:blip xmlns:r="http://schemas.openxmlformats.org/officeDocument/2006/relationships" r:embed="rId2"/>
        <a:stretch>
          <a:fillRect/>
        </a:stretch>
      </xdr:blipFill>
      <xdr:spPr>
        <a:xfrm>
          <a:off x="2970238" y="3886199"/>
          <a:ext cx="2350516" cy="2123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196215</xdr:colOff>
      <xdr:row>0</xdr:row>
      <xdr:rowOff>182880</xdr:rowOff>
    </xdr:from>
    <xdr:to>
      <xdr:col>9</xdr:col>
      <xdr:colOff>1905</xdr:colOff>
      <xdr:row>2</xdr:row>
      <xdr:rowOff>297180</xdr:rowOff>
    </xdr:to>
    <xdr:grpSp>
      <xdr:nvGrpSpPr>
        <xdr:cNvPr id="14" name="Grupo 13">
          <a:extLst>
            <a:ext uri="{FF2B5EF4-FFF2-40B4-BE49-F238E27FC236}">
              <a16:creationId xmlns:a16="http://schemas.microsoft.com/office/drawing/2014/main" id="{A1F2D352-F98F-4C51-91BB-C925DD267FD5}"/>
            </a:ext>
          </a:extLst>
        </xdr:cNvPr>
        <xdr:cNvGrpSpPr/>
      </xdr:nvGrpSpPr>
      <xdr:grpSpPr>
        <a:xfrm>
          <a:off x="198120" y="180975"/>
          <a:ext cx="8048202" cy="876300"/>
          <a:chOff x="215265" y="131445"/>
          <a:chExt cx="8001000" cy="880110"/>
        </a:xfrm>
      </xdr:grpSpPr>
      <xdr:sp macro="" textlink="">
        <xdr:nvSpPr>
          <xdr:cNvPr id="15" name="CuadroTexto 14">
            <a:extLst>
              <a:ext uri="{FF2B5EF4-FFF2-40B4-BE49-F238E27FC236}">
                <a16:creationId xmlns:a16="http://schemas.microsoft.com/office/drawing/2014/main" id="{2B8B605D-2D00-6BFD-C446-62D21DFBEBAA}"/>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16" name="CuadroTexto 15">
            <a:extLst>
              <a:ext uri="{FF2B5EF4-FFF2-40B4-BE49-F238E27FC236}">
                <a16:creationId xmlns:a16="http://schemas.microsoft.com/office/drawing/2014/main" id="{967D52C5-CA69-0715-F5E1-71DF2C9E6151}"/>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17" name="Imagen 16">
            <a:extLst>
              <a:ext uri="{FF2B5EF4-FFF2-40B4-BE49-F238E27FC236}">
                <a16:creationId xmlns:a16="http://schemas.microsoft.com/office/drawing/2014/main" id="{D798E289-3A36-1CC6-24F5-46B6C93A7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412750</xdr:colOff>
      <xdr:row>10</xdr:row>
      <xdr:rowOff>52916</xdr:rowOff>
    </xdr:from>
    <xdr:to>
      <xdr:col>6</xdr:col>
      <xdr:colOff>218534</xdr:colOff>
      <xdr:row>15</xdr:row>
      <xdr:rowOff>373168</xdr:rowOff>
    </xdr:to>
    <xdr:pic>
      <xdr:nvPicPr>
        <xdr:cNvPr id="3" name="Imagen 2">
          <a:extLst>
            <a:ext uri="{FF2B5EF4-FFF2-40B4-BE49-F238E27FC236}">
              <a16:creationId xmlns:a16="http://schemas.microsoft.com/office/drawing/2014/main" id="{AC2235FC-A9DA-4942-BCA0-030549EFFFE4}"/>
            </a:ext>
          </a:extLst>
        </xdr:cNvPr>
        <xdr:cNvPicPr>
          <a:picLocks noChangeAspect="1"/>
        </xdr:cNvPicPr>
      </xdr:nvPicPr>
      <xdr:blipFill>
        <a:blip xmlns:r="http://schemas.openxmlformats.org/officeDocument/2006/relationships" r:embed="rId2"/>
        <a:stretch>
          <a:fillRect/>
        </a:stretch>
      </xdr:blipFill>
      <xdr:spPr>
        <a:xfrm>
          <a:off x="3005667" y="3862916"/>
          <a:ext cx="2250534" cy="2225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196215</xdr:colOff>
      <xdr:row>0</xdr:row>
      <xdr:rowOff>171450</xdr:rowOff>
    </xdr:from>
    <xdr:to>
      <xdr:col>8</xdr:col>
      <xdr:colOff>1567815</xdr:colOff>
      <xdr:row>2</xdr:row>
      <xdr:rowOff>291465</xdr:rowOff>
    </xdr:to>
    <xdr:grpSp>
      <xdr:nvGrpSpPr>
        <xdr:cNvPr id="2" name="Grupo 1">
          <a:extLst>
            <a:ext uri="{FF2B5EF4-FFF2-40B4-BE49-F238E27FC236}">
              <a16:creationId xmlns:a16="http://schemas.microsoft.com/office/drawing/2014/main" id="{5CFB061B-8911-4601-AC85-3B34B9FA4BE4}"/>
            </a:ext>
          </a:extLst>
        </xdr:cNvPr>
        <xdr:cNvGrpSpPr/>
      </xdr:nvGrpSpPr>
      <xdr:grpSpPr>
        <a:xfrm>
          <a:off x="198120" y="167640"/>
          <a:ext cx="8039100" cy="882015"/>
          <a:chOff x="215265" y="131445"/>
          <a:chExt cx="8001000" cy="880110"/>
        </a:xfrm>
      </xdr:grpSpPr>
      <xdr:sp macro="" textlink="">
        <xdr:nvSpPr>
          <xdr:cNvPr id="3" name="CuadroTexto 2">
            <a:extLst>
              <a:ext uri="{FF2B5EF4-FFF2-40B4-BE49-F238E27FC236}">
                <a16:creationId xmlns:a16="http://schemas.microsoft.com/office/drawing/2014/main" id="{2D50A188-B27B-EADE-7E80-C7F455D06BD8}"/>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F6E72878-B02F-0064-2237-973731B70E10}"/>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CCE7C74C-C370-A0BC-F5ED-8510BD06D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167427</xdr:colOff>
      <xdr:row>10</xdr:row>
      <xdr:rowOff>158271</xdr:rowOff>
    </xdr:from>
    <xdr:to>
      <xdr:col>6</xdr:col>
      <xdr:colOff>411901</xdr:colOff>
      <xdr:row>15</xdr:row>
      <xdr:rowOff>178859</xdr:rowOff>
    </xdr:to>
    <xdr:pic>
      <xdr:nvPicPr>
        <xdr:cNvPr id="6" name="Imagen 5">
          <a:extLst>
            <a:ext uri="{FF2B5EF4-FFF2-40B4-BE49-F238E27FC236}">
              <a16:creationId xmlns:a16="http://schemas.microsoft.com/office/drawing/2014/main" id="{AE8169DE-0F1E-4046-AC3C-CDAEAAEEDF4B}"/>
            </a:ext>
          </a:extLst>
        </xdr:cNvPr>
        <xdr:cNvPicPr>
          <a:picLocks noChangeAspect="1"/>
        </xdr:cNvPicPr>
      </xdr:nvPicPr>
      <xdr:blipFill rotWithShape="1">
        <a:blip xmlns:r="http://schemas.openxmlformats.org/officeDocument/2006/relationships" r:embed="rId2"/>
        <a:srcRect t="6060"/>
        <a:stretch>
          <a:fillRect/>
        </a:stretch>
      </xdr:blipFill>
      <xdr:spPr>
        <a:xfrm>
          <a:off x="2760344" y="3968271"/>
          <a:ext cx="2689224" cy="19255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158115</xdr:rowOff>
    </xdr:from>
    <xdr:to>
      <xdr:col>9</xdr:col>
      <xdr:colOff>0</xdr:colOff>
      <xdr:row>2</xdr:row>
      <xdr:rowOff>281940</xdr:rowOff>
    </xdr:to>
    <xdr:grpSp>
      <xdr:nvGrpSpPr>
        <xdr:cNvPr id="2" name="Grupo 1">
          <a:extLst>
            <a:ext uri="{FF2B5EF4-FFF2-40B4-BE49-F238E27FC236}">
              <a16:creationId xmlns:a16="http://schemas.microsoft.com/office/drawing/2014/main" id="{C06A9BFB-373F-4484-B109-4CE6A90EAAAE}"/>
            </a:ext>
          </a:extLst>
        </xdr:cNvPr>
        <xdr:cNvGrpSpPr/>
      </xdr:nvGrpSpPr>
      <xdr:grpSpPr>
        <a:xfrm>
          <a:off x="201083" y="160020"/>
          <a:ext cx="8043334" cy="887730"/>
          <a:chOff x="215265" y="131445"/>
          <a:chExt cx="8001000" cy="880110"/>
        </a:xfrm>
      </xdr:grpSpPr>
      <xdr:sp macro="" textlink="">
        <xdr:nvSpPr>
          <xdr:cNvPr id="3" name="CuadroTexto 2">
            <a:extLst>
              <a:ext uri="{FF2B5EF4-FFF2-40B4-BE49-F238E27FC236}">
                <a16:creationId xmlns:a16="http://schemas.microsoft.com/office/drawing/2014/main" id="{3DD5E801-35E0-D184-5419-FF3D599364A8}"/>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6C44E125-68A7-F567-DEE5-81435EE32D45}"/>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D6A03268-8BAC-E424-1580-F0CA77C74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338666</xdr:colOff>
      <xdr:row>10</xdr:row>
      <xdr:rowOff>151679</xdr:rowOff>
    </xdr:from>
    <xdr:to>
      <xdr:col>6</xdr:col>
      <xdr:colOff>549169</xdr:colOff>
      <xdr:row>15</xdr:row>
      <xdr:rowOff>269269</xdr:rowOff>
    </xdr:to>
    <xdr:pic>
      <xdr:nvPicPr>
        <xdr:cNvPr id="8" name="Imagen 7">
          <a:extLst>
            <a:ext uri="{FF2B5EF4-FFF2-40B4-BE49-F238E27FC236}">
              <a16:creationId xmlns:a16="http://schemas.microsoft.com/office/drawing/2014/main" id="{4E381BFD-B096-FBE3-3E44-1AE0992FB8FB}"/>
            </a:ext>
          </a:extLst>
        </xdr:cNvPr>
        <xdr:cNvPicPr>
          <a:picLocks noChangeAspect="1"/>
        </xdr:cNvPicPr>
      </xdr:nvPicPr>
      <xdr:blipFill>
        <a:blip xmlns:r="http://schemas.openxmlformats.org/officeDocument/2006/relationships" r:embed="rId2"/>
        <a:stretch>
          <a:fillRect/>
        </a:stretch>
      </xdr:blipFill>
      <xdr:spPr>
        <a:xfrm>
          <a:off x="2931583" y="3961679"/>
          <a:ext cx="2655253" cy="2022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0</xdr:row>
      <xdr:rowOff>167976</xdr:rowOff>
    </xdr:from>
    <xdr:to>
      <xdr:col>9</xdr:col>
      <xdr:colOff>9525</xdr:colOff>
      <xdr:row>2</xdr:row>
      <xdr:rowOff>297180</xdr:rowOff>
    </xdr:to>
    <xdr:grpSp>
      <xdr:nvGrpSpPr>
        <xdr:cNvPr id="2" name="Grupo 1">
          <a:extLst>
            <a:ext uri="{FF2B5EF4-FFF2-40B4-BE49-F238E27FC236}">
              <a16:creationId xmlns:a16="http://schemas.microsoft.com/office/drawing/2014/main" id="{466F84D2-C070-463E-88F7-DA79AA0FC532}"/>
            </a:ext>
          </a:extLst>
        </xdr:cNvPr>
        <xdr:cNvGrpSpPr/>
      </xdr:nvGrpSpPr>
      <xdr:grpSpPr>
        <a:xfrm>
          <a:off x="212513" y="171786"/>
          <a:ext cx="8043334" cy="885489"/>
          <a:chOff x="219075" y="131445"/>
          <a:chExt cx="8001000" cy="880110"/>
        </a:xfrm>
      </xdr:grpSpPr>
      <xdr:sp macro="" textlink="">
        <xdr:nvSpPr>
          <xdr:cNvPr id="3" name="CuadroTexto 2">
            <a:extLst>
              <a:ext uri="{FF2B5EF4-FFF2-40B4-BE49-F238E27FC236}">
                <a16:creationId xmlns:a16="http://schemas.microsoft.com/office/drawing/2014/main" id="{743CB563-702C-DC25-F705-60F5A261A9ED}"/>
              </a:ext>
            </a:extLst>
          </xdr:cNvPr>
          <xdr:cNvSpPr txBox="1"/>
        </xdr:nvSpPr>
        <xdr:spPr>
          <a:xfrm>
            <a:off x="219075" y="208903"/>
            <a:ext cx="8001000" cy="79507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BCB68EFF-A163-83C0-F962-24DC6753EC4B}"/>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A6317777-7A2D-8E18-2FAB-68EF898A2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441846</xdr:colOff>
      <xdr:row>10</xdr:row>
      <xdr:rowOff>54820</xdr:rowOff>
    </xdr:from>
    <xdr:to>
      <xdr:col>6</xdr:col>
      <xdr:colOff>212608</xdr:colOff>
      <xdr:row>15</xdr:row>
      <xdr:rowOff>359928</xdr:rowOff>
    </xdr:to>
    <xdr:pic>
      <xdr:nvPicPr>
        <xdr:cNvPr id="6" name="Imagen 5">
          <a:extLst>
            <a:ext uri="{FF2B5EF4-FFF2-40B4-BE49-F238E27FC236}">
              <a16:creationId xmlns:a16="http://schemas.microsoft.com/office/drawing/2014/main" id="{DD2A5E68-C93E-D998-7C7A-6096CC48C75C}"/>
            </a:ext>
          </a:extLst>
        </xdr:cNvPr>
        <xdr:cNvPicPr>
          <a:picLocks noChangeAspect="1"/>
        </xdr:cNvPicPr>
      </xdr:nvPicPr>
      <xdr:blipFill>
        <a:blip xmlns:r="http://schemas.openxmlformats.org/officeDocument/2006/relationships" r:embed="rId2"/>
        <a:stretch>
          <a:fillRect/>
        </a:stretch>
      </xdr:blipFill>
      <xdr:spPr>
        <a:xfrm>
          <a:off x="3034763" y="3864820"/>
          <a:ext cx="2211702" cy="22139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0</xdr:row>
      <xdr:rowOff>161925</xdr:rowOff>
    </xdr:from>
    <xdr:to>
      <xdr:col>9</xdr:col>
      <xdr:colOff>9525</xdr:colOff>
      <xdr:row>2</xdr:row>
      <xdr:rowOff>283845</xdr:rowOff>
    </xdr:to>
    <xdr:grpSp>
      <xdr:nvGrpSpPr>
        <xdr:cNvPr id="2" name="Grupo 1">
          <a:extLst>
            <a:ext uri="{FF2B5EF4-FFF2-40B4-BE49-F238E27FC236}">
              <a16:creationId xmlns:a16="http://schemas.microsoft.com/office/drawing/2014/main" id="{FAED086D-7B1E-4F6C-8441-6767C8245D90}"/>
            </a:ext>
          </a:extLst>
        </xdr:cNvPr>
        <xdr:cNvGrpSpPr/>
      </xdr:nvGrpSpPr>
      <xdr:grpSpPr>
        <a:xfrm>
          <a:off x="212513" y="163830"/>
          <a:ext cx="8043334" cy="885825"/>
          <a:chOff x="215265" y="131445"/>
          <a:chExt cx="8001000" cy="880110"/>
        </a:xfrm>
      </xdr:grpSpPr>
      <xdr:sp macro="" textlink="">
        <xdr:nvSpPr>
          <xdr:cNvPr id="3" name="CuadroTexto 2">
            <a:extLst>
              <a:ext uri="{FF2B5EF4-FFF2-40B4-BE49-F238E27FC236}">
                <a16:creationId xmlns:a16="http://schemas.microsoft.com/office/drawing/2014/main" id="{2F94A55E-3882-929F-9C8B-5EB10D304D1A}"/>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61C3B838-602C-2393-1D0A-13FB5F23E07D}"/>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685BEC25-24CC-5ADD-EE22-64DB3EF02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465667</xdr:colOff>
      <xdr:row>10</xdr:row>
      <xdr:rowOff>42334</xdr:rowOff>
    </xdr:from>
    <xdr:to>
      <xdr:col>6</xdr:col>
      <xdr:colOff>315213</xdr:colOff>
      <xdr:row>15</xdr:row>
      <xdr:rowOff>347347</xdr:rowOff>
    </xdr:to>
    <xdr:pic>
      <xdr:nvPicPr>
        <xdr:cNvPr id="9" name="Imagen 8">
          <a:extLst>
            <a:ext uri="{FF2B5EF4-FFF2-40B4-BE49-F238E27FC236}">
              <a16:creationId xmlns:a16="http://schemas.microsoft.com/office/drawing/2014/main" id="{5DD75905-292C-4D93-B729-7BCC52BD3B22}"/>
            </a:ext>
          </a:extLst>
        </xdr:cNvPr>
        <xdr:cNvPicPr>
          <a:picLocks noChangeAspect="1"/>
        </xdr:cNvPicPr>
      </xdr:nvPicPr>
      <xdr:blipFill>
        <a:blip xmlns:r="http://schemas.openxmlformats.org/officeDocument/2006/relationships" r:embed="rId2"/>
        <a:stretch>
          <a:fillRect/>
        </a:stretch>
      </xdr:blipFill>
      <xdr:spPr>
        <a:xfrm>
          <a:off x="3058584" y="3852334"/>
          <a:ext cx="2294296" cy="22100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0</xdr:row>
      <xdr:rowOff>161925</xdr:rowOff>
    </xdr:from>
    <xdr:to>
      <xdr:col>9</xdr:col>
      <xdr:colOff>9525</xdr:colOff>
      <xdr:row>2</xdr:row>
      <xdr:rowOff>283845</xdr:rowOff>
    </xdr:to>
    <xdr:grpSp>
      <xdr:nvGrpSpPr>
        <xdr:cNvPr id="2" name="Grupo 1">
          <a:extLst>
            <a:ext uri="{FF2B5EF4-FFF2-40B4-BE49-F238E27FC236}">
              <a16:creationId xmlns:a16="http://schemas.microsoft.com/office/drawing/2014/main" id="{A4683667-ECED-4EC5-929B-D2D0BC21A51F}"/>
            </a:ext>
          </a:extLst>
        </xdr:cNvPr>
        <xdr:cNvGrpSpPr/>
      </xdr:nvGrpSpPr>
      <xdr:grpSpPr>
        <a:xfrm>
          <a:off x="212513" y="163830"/>
          <a:ext cx="8043334" cy="885825"/>
          <a:chOff x="215265" y="131445"/>
          <a:chExt cx="8001000" cy="880110"/>
        </a:xfrm>
      </xdr:grpSpPr>
      <xdr:sp macro="" textlink="">
        <xdr:nvSpPr>
          <xdr:cNvPr id="3" name="CuadroTexto 2">
            <a:extLst>
              <a:ext uri="{FF2B5EF4-FFF2-40B4-BE49-F238E27FC236}">
                <a16:creationId xmlns:a16="http://schemas.microsoft.com/office/drawing/2014/main" id="{CBF940B0-1840-D7A9-E3E0-2E0D0AE5FD37}"/>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0C779C71-626A-EA16-A5B6-8759FD4E22CD}"/>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0CEF7D12-1EC7-3165-5ACE-B2DAC361DE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282786</xdr:colOff>
      <xdr:row>10</xdr:row>
      <xdr:rowOff>94832</xdr:rowOff>
    </xdr:from>
    <xdr:to>
      <xdr:col>6</xdr:col>
      <xdr:colOff>158749</xdr:colOff>
      <xdr:row>15</xdr:row>
      <xdr:rowOff>209126</xdr:rowOff>
    </xdr:to>
    <xdr:pic>
      <xdr:nvPicPr>
        <xdr:cNvPr id="6" name="Imagen 5">
          <a:extLst>
            <a:ext uri="{FF2B5EF4-FFF2-40B4-BE49-F238E27FC236}">
              <a16:creationId xmlns:a16="http://schemas.microsoft.com/office/drawing/2014/main" id="{345F44B7-73D9-0A38-F4AC-19A486DE98FB}"/>
            </a:ext>
          </a:extLst>
        </xdr:cNvPr>
        <xdr:cNvPicPr>
          <a:picLocks noChangeAspect="1"/>
        </xdr:cNvPicPr>
      </xdr:nvPicPr>
      <xdr:blipFill>
        <a:blip xmlns:r="http://schemas.openxmlformats.org/officeDocument/2006/relationships" r:embed="rId2"/>
        <a:stretch>
          <a:fillRect/>
        </a:stretch>
      </xdr:blipFill>
      <xdr:spPr>
        <a:xfrm>
          <a:off x="2875703" y="3904832"/>
          <a:ext cx="2320713" cy="20192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171450</xdr:rowOff>
    </xdr:from>
    <xdr:to>
      <xdr:col>9</xdr:col>
      <xdr:colOff>9525</xdr:colOff>
      <xdr:row>2</xdr:row>
      <xdr:rowOff>293370</xdr:rowOff>
    </xdr:to>
    <xdr:grpSp>
      <xdr:nvGrpSpPr>
        <xdr:cNvPr id="2" name="Grupo 1">
          <a:extLst>
            <a:ext uri="{FF2B5EF4-FFF2-40B4-BE49-F238E27FC236}">
              <a16:creationId xmlns:a16="http://schemas.microsoft.com/office/drawing/2014/main" id="{3BFB3F95-7B83-48CB-8EE0-C4EB5CAB240C}"/>
            </a:ext>
          </a:extLst>
        </xdr:cNvPr>
        <xdr:cNvGrpSpPr/>
      </xdr:nvGrpSpPr>
      <xdr:grpSpPr>
        <a:xfrm>
          <a:off x="212513" y="167640"/>
          <a:ext cx="8043334" cy="885825"/>
          <a:chOff x="215265" y="131445"/>
          <a:chExt cx="8001000" cy="880110"/>
        </a:xfrm>
      </xdr:grpSpPr>
      <xdr:sp macro="" textlink="">
        <xdr:nvSpPr>
          <xdr:cNvPr id="3" name="CuadroTexto 2">
            <a:extLst>
              <a:ext uri="{FF2B5EF4-FFF2-40B4-BE49-F238E27FC236}">
                <a16:creationId xmlns:a16="http://schemas.microsoft.com/office/drawing/2014/main" id="{6C162921-6A02-9202-6C35-0D029F3DC097}"/>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DEDC61A2-722D-F360-A934-7AC008245E16}"/>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641B8539-962F-83E2-7548-2A9158BA5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446685</xdr:colOff>
      <xdr:row>10</xdr:row>
      <xdr:rowOff>95250</xdr:rowOff>
    </xdr:from>
    <xdr:to>
      <xdr:col>5</xdr:col>
      <xdr:colOff>651371</xdr:colOff>
      <xdr:row>15</xdr:row>
      <xdr:rowOff>327659</xdr:rowOff>
    </xdr:to>
    <xdr:pic>
      <xdr:nvPicPr>
        <xdr:cNvPr id="8" name="Imagen 7">
          <a:extLst>
            <a:ext uri="{FF2B5EF4-FFF2-40B4-BE49-F238E27FC236}">
              <a16:creationId xmlns:a16="http://schemas.microsoft.com/office/drawing/2014/main" id="{EE9E581E-0E4C-4DB9-A5C0-B3BDA57C2BE7}"/>
            </a:ext>
          </a:extLst>
        </xdr:cNvPr>
        <xdr:cNvPicPr>
          <a:picLocks noChangeAspect="1"/>
        </xdr:cNvPicPr>
      </xdr:nvPicPr>
      <xdr:blipFill>
        <a:blip xmlns:r="http://schemas.openxmlformats.org/officeDocument/2006/relationships" r:embed="rId2"/>
        <a:stretch>
          <a:fillRect/>
        </a:stretch>
      </xdr:blipFill>
      <xdr:spPr>
        <a:xfrm>
          <a:off x="3027960" y="3905250"/>
          <a:ext cx="1823936" cy="21374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0</xdr:row>
      <xdr:rowOff>171450</xdr:rowOff>
    </xdr:from>
    <xdr:to>
      <xdr:col>9</xdr:col>
      <xdr:colOff>9525</xdr:colOff>
      <xdr:row>2</xdr:row>
      <xdr:rowOff>293370</xdr:rowOff>
    </xdr:to>
    <xdr:grpSp>
      <xdr:nvGrpSpPr>
        <xdr:cNvPr id="2" name="Grupo 1">
          <a:extLst>
            <a:ext uri="{FF2B5EF4-FFF2-40B4-BE49-F238E27FC236}">
              <a16:creationId xmlns:a16="http://schemas.microsoft.com/office/drawing/2014/main" id="{E3BD34BF-340F-472E-A746-236289C8C0AA}"/>
            </a:ext>
          </a:extLst>
        </xdr:cNvPr>
        <xdr:cNvGrpSpPr/>
      </xdr:nvGrpSpPr>
      <xdr:grpSpPr>
        <a:xfrm>
          <a:off x="212513" y="167640"/>
          <a:ext cx="8043334" cy="885825"/>
          <a:chOff x="215265" y="131445"/>
          <a:chExt cx="8001000" cy="880110"/>
        </a:xfrm>
      </xdr:grpSpPr>
      <xdr:sp macro="" textlink="">
        <xdr:nvSpPr>
          <xdr:cNvPr id="3" name="CuadroTexto 2">
            <a:extLst>
              <a:ext uri="{FF2B5EF4-FFF2-40B4-BE49-F238E27FC236}">
                <a16:creationId xmlns:a16="http://schemas.microsoft.com/office/drawing/2014/main" id="{E2178634-81B9-27AE-7C7D-E8B3BA137A54}"/>
              </a:ext>
            </a:extLst>
          </xdr:cNvPr>
          <xdr:cNvSpPr txBox="1"/>
        </xdr:nvSpPr>
        <xdr:spPr>
          <a:xfrm>
            <a:off x="215265" y="207645"/>
            <a:ext cx="8001000" cy="79819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700" b="1"/>
          </a:p>
        </xdr:txBody>
      </xdr:sp>
      <xdr:sp macro="" textlink="">
        <xdr:nvSpPr>
          <xdr:cNvPr id="4" name="CuadroTexto 3">
            <a:extLst>
              <a:ext uri="{FF2B5EF4-FFF2-40B4-BE49-F238E27FC236}">
                <a16:creationId xmlns:a16="http://schemas.microsoft.com/office/drawing/2014/main" id="{8C5C8303-0EA1-ADE7-60CA-F2B073C2E0B8}"/>
              </a:ext>
            </a:extLst>
          </xdr:cNvPr>
          <xdr:cNvSpPr txBox="1"/>
        </xdr:nvSpPr>
        <xdr:spPr>
          <a:xfrm>
            <a:off x="1369694" y="329649"/>
            <a:ext cx="512254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700" b="1"/>
              <a:t>CALENDARIO</a:t>
            </a:r>
            <a:r>
              <a:rPr lang="es-CO" sz="1700" b="1" baseline="0"/>
              <a:t> ESTRATEGIA PARTICIPACIÓN </a:t>
            </a:r>
            <a:r>
              <a:rPr lang="es-CO" sz="1700" b="1" baseline="0">
                <a:solidFill>
                  <a:sysClr val="windowText" lastClr="000000"/>
                </a:solidFill>
              </a:rPr>
              <a:t>CIUDADANA 2026</a:t>
            </a:r>
            <a:endParaRPr lang="es-CO" sz="1700" b="1">
              <a:solidFill>
                <a:sysClr val="windowText" lastClr="000000"/>
              </a:solidFill>
            </a:endParaRPr>
          </a:p>
        </xdr:txBody>
      </xdr:sp>
      <xdr:pic>
        <xdr:nvPicPr>
          <xdr:cNvPr id="5" name="Imagen 4">
            <a:extLst>
              <a:ext uri="{FF2B5EF4-FFF2-40B4-BE49-F238E27FC236}">
                <a16:creationId xmlns:a16="http://schemas.microsoft.com/office/drawing/2014/main" id="{0834C7FD-6639-78A4-2038-771673D39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8946" y="131445"/>
            <a:ext cx="1478744" cy="8801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534671</xdr:colOff>
      <xdr:row>10</xdr:row>
      <xdr:rowOff>128651</xdr:rowOff>
    </xdr:from>
    <xdr:to>
      <xdr:col>6</xdr:col>
      <xdr:colOff>255905</xdr:colOff>
      <xdr:row>15</xdr:row>
      <xdr:rowOff>346934</xdr:rowOff>
    </xdr:to>
    <xdr:pic>
      <xdr:nvPicPr>
        <xdr:cNvPr id="6" name="Imagen 5">
          <a:extLst>
            <a:ext uri="{FF2B5EF4-FFF2-40B4-BE49-F238E27FC236}">
              <a16:creationId xmlns:a16="http://schemas.microsoft.com/office/drawing/2014/main" id="{25F8CA48-40D0-439C-AC78-20FDE2A1B863}"/>
            </a:ext>
          </a:extLst>
        </xdr:cNvPr>
        <xdr:cNvPicPr>
          <a:picLocks noChangeAspect="1"/>
        </xdr:cNvPicPr>
      </xdr:nvPicPr>
      <xdr:blipFill rotWithShape="1">
        <a:blip xmlns:r="http://schemas.openxmlformats.org/officeDocument/2006/relationships" r:embed="rId2"/>
        <a:srcRect t="5854"/>
        <a:stretch>
          <a:fillRect/>
        </a:stretch>
      </xdr:blipFill>
      <xdr:spPr>
        <a:xfrm>
          <a:off x="3127588" y="3938651"/>
          <a:ext cx="2165984" cy="21232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JanuaryAssignments" displayName="JanuaryAssignments" ref="J3:L16" totalsRowShown="0">
  <autoFilter ref="J3:L16" xr:uid="{00000000-0009-0000-0100-000001000000}">
    <filterColumn colId="0" hiddenButton="1"/>
    <filterColumn colId="1" hiddenButton="1"/>
    <filterColumn colId="2" hiddenButton="1"/>
  </autoFilter>
  <tableColumns count="3">
    <tableColumn id="1" xr3:uid="{00000000-0010-0000-0000-000001000000}" name="Día de la semana"/>
    <tableColumn id="2" xr3:uid="{00000000-0010-0000-0000-000002000000}" name="día de calendario" dataCellStyle="Fecha"/>
    <tableColumn id="3" xr3:uid="{00000000-0010-0000-00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OctoberAssignments" displayName="OctoberAssignments" ref="J3:L16" totalsRowShown="0">
  <autoFilter ref="J3:L16" xr:uid="{00000000-0009-0000-0100-00000A000000}">
    <filterColumn colId="0" hiddenButton="1"/>
    <filterColumn colId="1" hiddenButton="1"/>
    <filterColumn colId="2" hiddenButton="1"/>
  </autoFilter>
  <tableColumns count="3">
    <tableColumn id="1" xr3:uid="{00000000-0010-0000-0900-000001000000}" name="Día de la semana"/>
    <tableColumn id="2" xr3:uid="{00000000-0010-0000-0900-000002000000}" name="día de calendario" dataCellStyle="Fecha"/>
    <tableColumn id="3" xr3:uid="{00000000-0010-0000-09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NovemberAssignments" displayName="NovemberAssignments" ref="J3:L16" totalsRowShown="0">
  <autoFilter ref="J3:L16" xr:uid="{00000000-0009-0000-0100-00000B000000}">
    <filterColumn colId="0" hiddenButton="1"/>
    <filterColumn colId="1" hiddenButton="1"/>
    <filterColumn colId="2" hiddenButton="1"/>
  </autoFilter>
  <tableColumns count="3">
    <tableColumn id="1" xr3:uid="{00000000-0010-0000-0A00-000001000000}" name="Día de la semana"/>
    <tableColumn id="2" xr3:uid="{00000000-0010-0000-0A00-000002000000}" name="día de calendario" dataCellStyle="Fecha"/>
    <tableColumn id="3" xr3:uid="{00000000-0010-0000-0A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ecemberAssignments" displayName="DecemberAssignments" ref="J3:L16" totalsRowShown="0" dataCellStyle="Normal">
  <autoFilter ref="J3:L16" xr:uid="{00000000-0009-0000-0100-00000C000000}">
    <filterColumn colId="0" hiddenButton="1"/>
    <filterColumn colId="1" hiddenButton="1"/>
    <filterColumn colId="2" hiddenButton="1"/>
  </autoFilter>
  <tableColumns count="3">
    <tableColumn id="1" xr3:uid="{00000000-0010-0000-0B00-000001000000}" name="Día de la semana"/>
    <tableColumn id="2" xr3:uid="{00000000-0010-0000-0B00-000002000000}" name="día de calendario" dataCellStyle="Fecha"/>
    <tableColumn id="3" xr3:uid="{00000000-0010-0000-0B00-000003000000}" name="ACTIVIDADES" dataCellStyle="Normal"/>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ebruaryAssignments" displayName="FebruaryAssignments" ref="J3:L16" totalsRowShown="0">
  <autoFilter ref="J3:L16" xr:uid="{00000000-0009-0000-0100-000002000000}">
    <filterColumn colId="0" hiddenButton="1"/>
    <filterColumn colId="1" hiddenButton="1"/>
    <filterColumn colId="2" hiddenButton="1"/>
  </autoFilter>
  <tableColumns count="3">
    <tableColumn id="1" xr3:uid="{00000000-0010-0000-0100-000001000000}" name="Día de la semana"/>
    <tableColumn id="2" xr3:uid="{00000000-0010-0000-0100-000002000000}" name="día de calendario" dataCellStyle="Fecha"/>
    <tableColumn id="3" xr3:uid="{00000000-0010-0000-0100-000003000000}" name="ACTIVIDADES" dataCellStyle="Normal"/>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achrAssignments" displayName="MachrAssignments" ref="J3:L16" totalsRowShown="0">
  <autoFilter ref="J3:L16" xr:uid="{00000000-0009-0000-0100-000003000000}">
    <filterColumn colId="0" hiddenButton="1"/>
    <filterColumn colId="1" hiddenButton="1"/>
    <filterColumn colId="2" hiddenButton="1"/>
  </autoFilter>
  <tableColumns count="3">
    <tableColumn id="1" xr3:uid="{00000000-0010-0000-0200-000001000000}" name="Día de la semana"/>
    <tableColumn id="2" xr3:uid="{00000000-0010-0000-0200-000002000000}" name="día de calendario" dataCellStyle="Fecha"/>
    <tableColumn id="3" xr3:uid="{00000000-0010-0000-02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prilAssignments" displayName="AprilAssignments" ref="J3:L16" totalsRowShown="0">
  <autoFilter ref="J3:L16" xr:uid="{00000000-0009-0000-0100-000004000000}">
    <filterColumn colId="0" hiddenButton="1"/>
    <filterColumn colId="1" hiddenButton="1"/>
    <filterColumn colId="2" hiddenButton="1"/>
  </autoFilter>
  <tableColumns count="3">
    <tableColumn id="1" xr3:uid="{00000000-0010-0000-0300-000001000000}" name="Día de la semana"/>
    <tableColumn id="2" xr3:uid="{00000000-0010-0000-0300-000002000000}" name="día de calendario" dataCellStyle="Fecha"/>
    <tableColumn id="3" xr3:uid="{00000000-0010-0000-03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ayAssignments" displayName="MayAssignments" ref="J3:L16" totalsRowShown="0">
  <autoFilter ref="J3:L16" xr:uid="{00000000-0009-0000-0100-000005000000}">
    <filterColumn colId="0" hiddenButton="1"/>
    <filterColumn colId="1" hiddenButton="1"/>
    <filterColumn colId="2" hiddenButton="1"/>
  </autoFilter>
  <tableColumns count="3">
    <tableColumn id="1" xr3:uid="{00000000-0010-0000-0400-000001000000}" name="Día de la semana"/>
    <tableColumn id="2" xr3:uid="{00000000-0010-0000-0400-000002000000}" name="día de calendario" dataCellStyle="Fecha"/>
    <tableColumn id="3" xr3:uid="{00000000-0010-0000-04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JuneAssignments" displayName="JuneAssignments" ref="J3:L16" totalsRowShown="0">
  <autoFilter ref="J3:L16" xr:uid="{00000000-0009-0000-0100-000006000000}">
    <filterColumn colId="0" hiddenButton="1"/>
    <filterColumn colId="1" hiddenButton="1"/>
    <filterColumn colId="2" hiddenButton="1"/>
  </autoFilter>
  <tableColumns count="3">
    <tableColumn id="1" xr3:uid="{00000000-0010-0000-0500-000001000000}" name="Día de la semana"/>
    <tableColumn id="2" xr3:uid="{00000000-0010-0000-0500-000002000000}" name="día de calendario" dataCellStyle="Fecha"/>
    <tableColumn id="3" xr3:uid="{00000000-0010-0000-05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JulyAssignments" displayName="JulyAssignments" ref="J3:L16" totalsRowShown="0">
  <autoFilter ref="J3:L16" xr:uid="{00000000-0009-0000-0100-000007000000}">
    <filterColumn colId="0" hiddenButton="1"/>
    <filterColumn colId="1" hiddenButton="1"/>
    <filterColumn colId="2" hiddenButton="1"/>
  </autoFilter>
  <tableColumns count="3">
    <tableColumn id="1" xr3:uid="{00000000-0010-0000-0600-000001000000}" name="Día de la semana"/>
    <tableColumn id="2" xr3:uid="{00000000-0010-0000-0600-000002000000}" name="día de calendario" dataCellStyle="Fecha"/>
    <tableColumn id="3" xr3:uid="{00000000-0010-0000-06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AugustAssignments" displayName="AugustAssignments" ref="J3:L16" totalsRowShown="0">
  <autoFilter ref="J3:L16" xr:uid="{00000000-0009-0000-0100-000008000000}">
    <filterColumn colId="0" hiddenButton="1"/>
    <filterColumn colId="1" hiddenButton="1"/>
    <filterColumn colId="2" hiddenButton="1"/>
  </autoFilter>
  <tableColumns count="3">
    <tableColumn id="1" xr3:uid="{00000000-0010-0000-0700-000001000000}" name="Día de la semana"/>
    <tableColumn id="2" xr3:uid="{00000000-0010-0000-0700-000002000000}" name="día de calendario" dataCellStyle="Fecha"/>
    <tableColumn id="3" xr3:uid="{00000000-0010-0000-07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SeptemberAssignments" displayName="SeptemberAssignments" ref="J3:L16" totalsRowShown="0">
  <autoFilter ref="J3:L16" xr:uid="{00000000-0009-0000-0100-000009000000}">
    <filterColumn colId="0" hiddenButton="1"/>
    <filterColumn colId="1" hiddenButton="1"/>
    <filterColumn colId="2" hiddenButton="1"/>
  </autoFilter>
  <tableColumns count="3">
    <tableColumn id="1" xr3:uid="{00000000-0010-0000-0800-000001000000}" name="Día de la semana"/>
    <tableColumn id="2" xr3:uid="{00000000-0010-0000-0800-000002000000}" name="día de calendario" dataCellStyle="Fecha"/>
    <tableColumn id="3" xr3:uid="{00000000-0010-0000-0800-000003000000}" name="ACTIVIDADES"/>
  </tableColumns>
  <tableStyleInfo name="Tareas" showFirstColumn="1" showLastColumn="0" showRowStripes="1" showColumnStripes="0"/>
  <extLst>
    <ext xmlns:x14="http://schemas.microsoft.com/office/spreadsheetml/2009/9/main" uri="{504A1905-F514-4f6f-8877-14C23A59335A}">
      <x14:table altTextSummary="Escriba un día y una tarea para el día de la semana en la columna J. Las tareas aparecerán resaltadas en el calendario para este mes en esta hoja de cálculo."/>
    </ext>
  </extLst>
</table>
</file>

<file path=xl/theme/theme1.xml><?xml version="1.0" encoding="utf-8"?>
<a:theme xmlns:a="http://schemas.openxmlformats.org/drawingml/2006/main" name="10_college_cal">
  <a:themeElements>
    <a:clrScheme name="Assignment Calendar">
      <a:dk1>
        <a:sysClr val="windowText" lastClr="000000"/>
      </a:dk1>
      <a:lt1>
        <a:sysClr val="window" lastClr="FFFFFF"/>
      </a:lt1>
      <a:dk2>
        <a:srgbClr val="1F497D"/>
      </a:dk2>
      <a:lt2>
        <a:srgbClr val="EEECE1"/>
      </a:lt2>
      <a:accent1>
        <a:srgbClr val="39B5D4"/>
      </a:accent1>
      <a:accent2>
        <a:srgbClr val="FFCCCC"/>
      </a:accent2>
      <a:accent3>
        <a:srgbClr val="4DBB68"/>
      </a:accent3>
      <a:accent4>
        <a:srgbClr val="FFFB59"/>
      </a:accent4>
      <a:accent5>
        <a:srgbClr val="FF9900"/>
      </a:accent5>
      <a:accent6>
        <a:srgbClr val="AC75D5"/>
      </a:accent6>
      <a:hlink>
        <a:srgbClr val="57B5D4"/>
      </a:hlink>
      <a:folHlink>
        <a:srgbClr val="BA4F8B"/>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3:L16"/>
  <sheetViews>
    <sheetView showGridLines="0" showRowColHeaders="0" tabSelected="1" zoomScale="90" zoomScaleNormal="90" zoomScalePageLayoutView="84" workbookViewId="0">
      <selection activeCell="K6" sqref="K6"/>
    </sheetView>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0" width="6.8984375" customWidth="1"/>
    <col min="11" max="11" width="10.59765625" customWidth="1"/>
    <col min="12" max="12" width="74.09765625" customWidth="1"/>
    <col min="13" max="13" width="2.59765625" customWidth="1"/>
    <col min="14" max="14" width="8.59765625" customWidth="1"/>
  </cols>
  <sheetData>
    <row r="3" spans="1:12" ht="30" customHeight="1">
      <c r="B3" s="26">
        <v>2026</v>
      </c>
      <c r="C3" s="4"/>
      <c r="J3" s="15" t="s">
        <v>0</v>
      </c>
      <c r="K3" s="15" t="s">
        <v>1</v>
      </c>
      <c r="L3" s="25" t="s">
        <v>21</v>
      </c>
    </row>
    <row r="4" spans="1:12" ht="30" customHeight="1">
      <c r="A4" s="9"/>
      <c r="B4" s="24" t="s">
        <v>2</v>
      </c>
      <c r="C4" s="5" t="s">
        <v>3</v>
      </c>
      <c r="D4" s="5" t="s">
        <v>4</v>
      </c>
      <c r="E4" s="5" t="s">
        <v>5</v>
      </c>
      <c r="F4" s="5" t="s">
        <v>6</v>
      </c>
      <c r="G4" s="5" t="s">
        <v>7</v>
      </c>
      <c r="H4" s="5" t="s">
        <v>8</v>
      </c>
      <c r="I4" s="5" t="s">
        <v>9</v>
      </c>
      <c r="J4" s="47" t="s">
        <v>30</v>
      </c>
      <c r="K4" s="46">
        <v>31</v>
      </c>
      <c r="L4" s="10" t="s">
        <v>23</v>
      </c>
    </row>
    <row r="5" spans="1:12" ht="30" customHeight="1">
      <c r="A5" s="9"/>
      <c r="C5" s="21">
        <f>IF(DAY(JanSun1)=1,JanSun1-6,JanSun1+1)</f>
        <v>46020</v>
      </c>
      <c r="D5" s="21">
        <f>IF(DAY(JanSun1)=1,JanSun1-5,JanSun1+2)</f>
        <v>46021</v>
      </c>
      <c r="E5" s="21">
        <f>IF(DAY(JanSun1)=1,JanSun1-4,JanSun1+3)</f>
        <v>46022</v>
      </c>
      <c r="F5" s="21">
        <f>IF(DAY(JanSun1)=1,JanSun1-3,JanSun1+4)</f>
        <v>46023</v>
      </c>
      <c r="G5" s="21">
        <f>IF(DAY(JanSun1)=1,JanSun1-2,JanSun1+5)</f>
        <v>46024</v>
      </c>
      <c r="H5" s="21">
        <f>IF(DAY(JanSun1)=1,JanSun1-1,JanSun1+6)</f>
        <v>46025</v>
      </c>
      <c r="I5" s="30">
        <f>IF(DAY(JanSun1)=1,JanSun1,JanSun1+7)</f>
        <v>46026</v>
      </c>
      <c r="J5" s="7"/>
      <c r="K5" s="49">
        <v>31</v>
      </c>
      <c r="L5" s="10" t="s">
        <v>44</v>
      </c>
    </row>
    <row r="6" spans="1:12" ht="30" customHeight="1">
      <c r="A6" s="9"/>
      <c r="C6" s="21">
        <f>IF(DAY(JanSun1)=1,JanSun1+1,JanSun1+8)</f>
        <v>46027</v>
      </c>
      <c r="D6" s="21">
        <f>IF(DAY(JanSun1)=1,JanSun1+2,JanSun1+9)</f>
        <v>46028</v>
      </c>
      <c r="E6" s="21">
        <f>IF(DAY(JanSun1)=1,JanSun1+3,JanSun1+10)</f>
        <v>46029</v>
      </c>
      <c r="F6" s="21">
        <f>IF(DAY(JanSun1)=1,JanSun1+4,JanSun1+11)</f>
        <v>46030</v>
      </c>
      <c r="G6" s="21">
        <f>IF(DAY(JanSun1)=1,JanSun1+5,JanSun1+12)</f>
        <v>46031</v>
      </c>
      <c r="H6" s="21">
        <f>IF(DAY(JanSun1)=1,JanSun1+6,JanSun1+13)</f>
        <v>46032</v>
      </c>
      <c r="I6" s="21">
        <f>IF(DAY(JanSun1)=1,JanSun1+7,JanSun1+14)</f>
        <v>46033</v>
      </c>
      <c r="J6" s="7"/>
      <c r="K6" s="2"/>
      <c r="L6" s="10"/>
    </row>
    <row r="7" spans="1:12" ht="30" customHeight="1">
      <c r="A7" s="9"/>
      <c r="C7" s="21">
        <f>IF(DAY(JanSun1)=1,JanSun1+8,JanSun1+15)</f>
        <v>46034</v>
      </c>
      <c r="D7" s="21">
        <f>IF(DAY(JanSun1)=1,JanSun1+9,JanSun1+16)</f>
        <v>46035</v>
      </c>
      <c r="E7" s="21">
        <f>IF(DAY(JanSun1)=1,JanSun1+10,JanSun1+17)</f>
        <v>46036</v>
      </c>
      <c r="F7" s="21">
        <f>IF(DAY(JanSun1)=1,JanSun1+11,JanSun1+18)</f>
        <v>46037</v>
      </c>
      <c r="G7" s="21">
        <f>IF(DAY(JanSun1)=1,JanSun1+12,JanSun1+19)</f>
        <v>46038</v>
      </c>
      <c r="H7" s="21">
        <f>IF(DAY(JanSun1)=1,JanSun1+13,JanSun1+20)</f>
        <v>46039</v>
      </c>
      <c r="I7" s="21">
        <f>IF(DAY(JanSun1)=1,JanSun1+14,JanSun1+21)</f>
        <v>46040</v>
      </c>
      <c r="J7" s="7"/>
      <c r="K7" s="2"/>
      <c r="L7" s="10"/>
    </row>
    <row r="8" spans="1:12" ht="30" customHeight="1">
      <c r="A8" s="9"/>
      <c r="C8" s="31">
        <f>IF(DAY(JanSun1)=1,JanSun1+15,JanSun1+22)</f>
        <v>46041</v>
      </c>
      <c r="D8" s="21">
        <f>IF(DAY(JanSun1)=1,JanSun1+16,JanSun1+23)</f>
        <v>46042</v>
      </c>
      <c r="E8" s="21">
        <f>IF(DAY(JanSun1)=1,JanSun1+17,JanSun1+24)</f>
        <v>46043</v>
      </c>
      <c r="F8" s="21">
        <f>IF(DAY(JanSun1)=1,JanSun1+18,JanSun1+25)</f>
        <v>46044</v>
      </c>
      <c r="G8" s="21">
        <f>IF(DAY(JanSun1)=1,JanSun1+19,JanSun1+26)</f>
        <v>46045</v>
      </c>
      <c r="H8" s="21">
        <f>IF(DAY(JanSun1)=1,JanSun1+20,JanSun1+27)</f>
        <v>46046</v>
      </c>
      <c r="I8" s="21">
        <f>IF(DAY(JanSun1)=1,JanSun1+21,JanSun1+28)</f>
        <v>46047</v>
      </c>
      <c r="J8" s="7"/>
      <c r="K8" s="2"/>
      <c r="L8" s="10"/>
    </row>
    <row r="9" spans="1:12" ht="30" customHeight="1">
      <c r="A9" s="9"/>
      <c r="C9" s="21">
        <f>IF(DAY(JanSun1)=1,JanSun1+22,JanSun1+29)</f>
        <v>46048</v>
      </c>
      <c r="D9" s="21">
        <f>IF(DAY(JanSun1)=1,JanSun1+23,JanSun1+30)</f>
        <v>46049</v>
      </c>
      <c r="E9" s="21">
        <f>IF(DAY(JanSun1)=1,JanSun1+24,JanSun1+31)</f>
        <v>46050</v>
      </c>
      <c r="F9" s="21">
        <f>IF(DAY(JanSun1)=1,JanSun1+25,JanSun1+32)</f>
        <v>46051</v>
      </c>
      <c r="G9" s="21">
        <f>IF(DAY(JanSun1)=1,JanSun1+26,JanSun1+33)</f>
        <v>46052</v>
      </c>
      <c r="H9" s="21">
        <f>IF(DAY(JanSun1)=1,JanSun1+27,JanSun1+34)</f>
        <v>46053</v>
      </c>
      <c r="I9" s="21">
        <f>IF(DAY(JanSun1)=1,JanSun1+28,JanSun1+35)</f>
        <v>46054</v>
      </c>
      <c r="J9" s="16"/>
      <c r="K9" s="14"/>
      <c r="L9" s="12"/>
    </row>
    <row r="10" spans="1:12" ht="30" customHeight="1">
      <c r="A10" s="9"/>
      <c r="B10" s="12"/>
      <c r="C10" s="22">
        <f>IF(DAY(JanSun1)=1,JanSun1+29,JanSun1+36)</f>
        <v>46055</v>
      </c>
      <c r="D10" s="22">
        <f>IF(DAY(JanSun1)=1,JanSun1+30,JanSun1+37)</f>
        <v>46056</v>
      </c>
      <c r="E10" s="22">
        <f>IF(DAY(JanSun1)=1,JanSun1+31,JanSun1+38)</f>
        <v>46057</v>
      </c>
      <c r="F10" s="22">
        <f>IF(DAY(JanSun1)=1,JanSun1+32,JanSun1+39)</f>
        <v>46058</v>
      </c>
      <c r="G10" s="22">
        <f>IF(DAY(JanSun1)=1,JanSun1+33,JanSun1+40)</f>
        <v>46059</v>
      </c>
      <c r="H10" s="22">
        <f>IF(DAY(JanSun1)=1,JanSun1+34,JanSun1+41)</f>
        <v>46060</v>
      </c>
      <c r="I10" s="22">
        <f>IF(DAY(JanSun1)=1,JanSun1+35,JanSun1+42)</f>
        <v>46061</v>
      </c>
      <c r="J10" s="7"/>
      <c r="K10" s="2"/>
      <c r="L10" s="10"/>
    </row>
    <row r="11" spans="1:12" ht="30" customHeight="1">
      <c r="A11" s="9"/>
      <c r="J11" s="7"/>
      <c r="K11" s="2"/>
      <c r="L11" s="10"/>
    </row>
    <row r="12" spans="1:12" ht="30" customHeight="1">
      <c r="A12" s="9"/>
      <c r="B12" s="11"/>
      <c r="C12" s="6"/>
      <c r="D12" s="6"/>
      <c r="E12" s="6"/>
      <c r="F12" s="6"/>
      <c r="G12" s="6"/>
      <c r="H12" s="6"/>
      <c r="I12" s="6"/>
      <c r="J12" s="7"/>
      <c r="K12" s="2"/>
      <c r="L12" s="10"/>
    </row>
    <row r="13" spans="1:12" ht="30" customHeight="1">
      <c r="A13" s="18"/>
      <c r="B13" s="39" t="s">
        <v>3</v>
      </c>
      <c r="C13" s="56" t="s">
        <v>4</v>
      </c>
      <c r="D13" s="56"/>
      <c r="E13" s="56" t="s">
        <v>5</v>
      </c>
      <c r="F13" s="56"/>
      <c r="G13" s="56" t="s">
        <v>6</v>
      </c>
      <c r="H13" s="56"/>
      <c r="I13" s="38" t="s">
        <v>7</v>
      </c>
      <c r="J13" s="7"/>
      <c r="K13" s="2"/>
      <c r="L13" s="10"/>
    </row>
    <row r="14" spans="1:12" ht="30" customHeight="1">
      <c r="A14" s="18"/>
      <c r="B14" s="33"/>
      <c r="C14" s="59"/>
      <c r="D14" s="62"/>
      <c r="E14" s="63"/>
      <c r="F14" s="60"/>
      <c r="G14" s="59"/>
      <c r="H14" s="60"/>
      <c r="I14" s="34"/>
      <c r="J14" s="7"/>
      <c r="K14" s="2"/>
      <c r="L14" s="10"/>
    </row>
    <row r="15" spans="1:12" ht="30" customHeight="1">
      <c r="A15" s="18"/>
      <c r="B15" s="35"/>
      <c r="C15" s="58"/>
      <c r="D15" s="58"/>
      <c r="E15" s="58"/>
      <c r="F15" s="58"/>
      <c r="G15" s="58"/>
      <c r="H15" s="58"/>
      <c r="I15" s="37"/>
      <c r="J15" s="16"/>
      <c r="K15" s="14"/>
      <c r="L15" s="12"/>
    </row>
    <row r="16" spans="1:12" ht="30" customHeight="1">
      <c r="A16" s="18"/>
      <c r="B16" s="50"/>
      <c r="C16" s="61"/>
      <c r="D16" s="61"/>
      <c r="E16" s="61"/>
      <c r="F16" s="61"/>
      <c r="G16" s="61"/>
      <c r="H16" s="61"/>
      <c r="I16" s="51"/>
      <c r="J16" s="7"/>
      <c r="K16" s="2"/>
      <c r="L16" s="10"/>
    </row>
  </sheetData>
  <sheetProtection algorithmName="SHA-512" hashValue="FB5KIpe7+b05NmMKjZmhq8EKlyk1ZrLWMEZJEA+QAczuRMpO0Qs727bmsSd9FykHxxFFgz3aMhgAv5iPRYsSXg==" saltValue="2Z/igGNM9qY6s5uRn/XfYQ==" spinCount="100000" sheet="1" objects="1" scenarios="1"/>
  <dataConsolidate/>
  <mergeCells count="12">
    <mergeCell ref="C13:D13"/>
    <mergeCell ref="C14:D14"/>
    <mergeCell ref="C15:D15"/>
    <mergeCell ref="C16:D16"/>
    <mergeCell ref="E16:F16"/>
    <mergeCell ref="E15:F15"/>
    <mergeCell ref="E14:F14"/>
    <mergeCell ref="G13:H13"/>
    <mergeCell ref="G14:H14"/>
    <mergeCell ref="G15:H15"/>
    <mergeCell ref="G16:H16"/>
    <mergeCell ref="E13:F13"/>
  </mergeCells>
  <phoneticPr fontId="3" type="noConversion"/>
  <conditionalFormatting sqref="B14:I14 B16:I16">
    <cfRule type="expression" dxfId="84" priority="6">
      <formula>B14&lt;&gt;""</formula>
    </cfRule>
  </conditionalFormatting>
  <conditionalFormatting sqref="B14:I16">
    <cfRule type="expression" dxfId="83" priority="1">
      <formula>COLUMN(B13)&gt;2</formula>
    </cfRule>
  </conditionalFormatting>
  <conditionalFormatting sqref="B15:I15">
    <cfRule type="expression" dxfId="82" priority="3">
      <formula>COLUMN(B14)&gt;=2</formula>
    </cfRule>
    <cfRule type="expression" dxfId="81" priority="4">
      <formula>B15&lt;&gt;""</formula>
    </cfRule>
  </conditionalFormatting>
  <conditionalFormatting sqref="C5:H5">
    <cfRule type="expression" dxfId="80" priority="9" stopIfTrue="1">
      <formula>DAY(C5)&gt;8</formula>
    </cfRule>
  </conditionalFormatting>
  <conditionalFormatting sqref="C5:I10">
    <cfRule type="expression" dxfId="79" priority="20">
      <formula>VLOOKUP(DAY(C5),AssignmentDays,1,FALSE)=DAY(C5)</formula>
    </cfRule>
  </conditionalFormatting>
  <conditionalFormatting sqref="C9:I10">
    <cfRule type="expression" dxfId="78" priority="8" stopIfTrue="1">
      <formula>AND(DAY(C9)&gt;=1,DAY(C9)&lt;=15)</formula>
    </cfRule>
  </conditionalFormatting>
  <dataValidations xWindow="250" yWindow="581" count="16">
    <dataValidation allowBlank="1" showInputMessage="1" showErrorMessage="1" prompt="Escriba el año en esta celda" sqref="B3" xr:uid="{00000000-0002-0000-0000-000000000000}"/>
    <dataValidation allowBlank="1" showInputMessage="1" showErrorMessage="1" prompt="Prepare una programación semanal y cree una lista de tareas en esta hoja de cálculo. Las entradas de la lista de tareas se resaltan automáticamente en el calendario mensual. Escriba el año en la celda B1." sqref="A3" xr:uid="{00000000-0002-0000-0000-000001000000}"/>
    <dataValidation allowBlank="1" showInputMessage="1" showErrorMessage="1" prompt="El calendario de enero resalta automáticamente las entradas de la lista de tareas para el mes. Las fuentes más oscuras indican tareas. Las fuentes más claras indican días que pertenecen al mes anterior o al mes siguiente" sqref="B4" xr:uid="{00000000-0002-0000-0000-000002000000}"/>
    <dataValidation allowBlank="1" showInputMessage="1" showErrorMessage="1" prompt="Las celdas C2 a I2 contienen días de la semana." sqref="C4" xr:uid="{00000000-0002-0000-0000-000003000000}"/>
    <dataValidation allowBlank="1" showInputMessage="1" showErrorMessage="1" prompt="Si esta celda no contiene el número 1, se trata de un día de del mes anterior. Las celdas C3 a I8 contienen fechas para el mes actual" sqref="C5" xr:uid="{00000000-0002-0000-0000-000004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000-000005000000}"/>
    <dataValidation allowBlank="1" showInputMessage="1" showErrorMessage="1" prompt="Escriba la clase en esta fila, de la columna B a la I." sqref="B15" xr:uid="{00000000-0002-0000-0000-000006000000}"/>
    <dataValidation allowBlank="1" showInputMessage="1" showErrorMessage="1" prompt="Escriba en esta columna el día de la tarea del mes que corresponda al día de la semana en la columna J. Esta fecha resaltará la tarea en el calendario de la izquierda" sqref="K3" xr:uid="{00000000-0002-0000-0000-000007000000}"/>
    <dataValidation allowBlank="1" showInputMessage="1" showErrorMessage="1" prompt="Escriba la hora en esta fila, de la columna B a la I" sqref="B14" xr:uid="{00000000-0002-0000-0000-000008000000}"/>
    <dataValidation allowBlank="1" showInputMessage="1" showErrorMessage="1" prompt="Escriba en esta columna los detalles de la tarea correspondientes al día de la semana en la columna J y al día en la columna K del mes calendario de la izquierda." sqref="L3" xr:uid="{00000000-0002-0000-0000-000009000000}"/>
    <dataValidation allowBlank="1" showInputMessage="1" showErrorMessage="1" prompt="Si esta fila contiene un número menor que el número o la fila de números anterior, en ese caso, esta fila contiene fechas para el próximo mes del calendario." sqref="C10" xr:uid="{00000000-0002-0000-0000-00000A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000-00000B000000}"/>
    <dataValidation allowBlank="1" showInputMessage="1" showErrorMessage="1" prompt="Los días de la semana se encuentran en esta fila, del lunes al viernes." sqref="B13" xr:uid="{00000000-0002-0000-0000-00000C000000}"/>
    <dataValidation allowBlank="1" showInputMessage="1" showErrorMessage="1" prompt="El día de la semana va en esta fila, empezando en la celda B11" sqref="A13" xr:uid="{88F46378-B132-4442-B6E6-D4F082FFCBDB}"/>
    <dataValidation allowBlank="1" showInputMessage="1" showErrorMessage="1" prompt="El tiempo de clase va en esta fila, empezando en la celda hasta la derecha_x000a_" sqref="A14 A16" xr:uid="{C34C8DFE-3BD5-4F27-BE29-D25062965CDB}"/>
    <dataValidation allowBlank="1" showInputMessage="1" showErrorMessage="1" prompt="El nombre de la clase va en esta fila, empezando en la celda a la derecha" sqref="A15" xr:uid="{E6CB7532-0824-4D1A-A8F6-BBB43E459C2B}"/>
  </dataValidations>
  <printOptions horizontalCentered="1" verticalCentered="1"/>
  <pageMargins left="0.5" right="0.5" top="0.5" bottom="0.5" header="0.3" footer="0.3"/>
  <pageSetup paperSize="9" scale="58" orientation="landscape" r:id="rId1"/>
  <drawing r:id="rId2"/>
  <tableParts count="1">
    <tablePart r:id="rId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8" t="s">
        <v>18</v>
      </c>
      <c r="C4" s="5" t="s">
        <v>3</v>
      </c>
      <c r="D4" s="5" t="s">
        <v>4</v>
      </c>
      <c r="E4" s="5" t="s">
        <v>5</v>
      </c>
      <c r="F4" s="5" t="s">
        <v>6</v>
      </c>
      <c r="G4" s="5" t="s">
        <v>7</v>
      </c>
      <c r="H4" s="5" t="s">
        <v>8</v>
      </c>
      <c r="I4" s="5" t="s">
        <v>9</v>
      </c>
      <c r="J4" s="47" t="s">
        <v>30</v>
      </c>
      <c r="K4" s="45">
        <v>31</v>
      </c>
      <c r="L4" s="44" t="s">
        <v>38</v>
      </c>
    </row>
    <row r="5" spans="1:12" ht="30" customHeight="1">
      <c r="A5" s="9"/>
      <c r="C5" s="21">
        <f>IF(DAY(OctSun1)=1,OctSun1-6,OctSun1+1)</f>
        <v>46293</v>
      </c>
      <c r="D5" s="21">
        <f>IF(DAY(OctSun1)=1,OctSun1-5,OctSun1+2)</f>
        <v>46294</v>
      </c>
      <c r="E5" s="21">
        <f>IF(DAY(OctSun1)=1,OctSun1-4,OctSun1+3)</f>
        <v>46295</v>
      </c>
      <c r="F5" s="21">
        <f>IF(DAY(OctSun1)=1,OctSun1-3,OctSun1+4)</f>
        <v>46296</v>
      </c>
      <c r="G5" s="21">
        <f>IF(DAY(OctSun1)=1,OctSun1-2,OctSun1+5)</f>
        <v>46297</v>
      </c>
      <c r="H5" s="21">
        <f>IF(DAY(OctSun1)=1,OctSun1-1,OctSun1+6)</f>
        <v>46298</v>
      </c>
      <c r="I5" s="21">
        <f>IF(DAY(OctSun1)=1,OctSun1,OctSun1+7)</f>
        <v>46299</v>
      </c>
      <c r="J5" s="7"/>
      <c r="K5" s="2"/>
    </row>
    <row r="6" spans="1:12" ht="30" customHeight="1">
      <c r="A6" s="9"/>
      <c r="C6" s="21">
        <f>IF(DAY(OctSun1)=1,OctSun1+1,OctSun1+8)</f>
        <v>46300</v>
      </c>
      <c r="D6" s="21">
        <f>IF(DAY(OctSun1)=1,OctSun1+2,OctSun1+9)</f>
        <v>46301</v>
      </c>
      <c r="E6" s="21">
        <f>IF(DAY(OctSun1)=1,OctSun1+3,OctSun1+10)</f>
        <v>46302</v>
      </c>
      <c r="F6" s="21">
        <f>IF(DAY(OctSun1)=1,OctSun1+4,OctSun1+11)</f>
        <v>46303</v>
      </c>
      <c r="G6" s="21">
        <f>IF(DAY(OctSun1)=1,OctSun1+5,OctSun1+12)</f>
        <v>46304</v>
      </c>
      <c r="H6" s="21">
        <f>IF(DAY(OctSun1)=1,OctSun1+6,OctSun1+13)</f>
        <v>46305</v>
      </c>
      <c r="I6" s="21">
        <f>IF(DAY(OctSun1)=1,OctSun1+7,OctSun1+14)</f>
        <v>46306</v>
      </c>
      <c r="J6" s="7"/>
      <c r="K6" s="2"/>
    </row>
    <row r="7" spans="1:12" ht="30" customHeight="1">
      <c r="A7" s="9"/>
      <c r="C7" s="21">
        <f>IF(DAY(OctSun1)=1,OctSun1+8,OctSun1+15)</f>
        <v>46307</v>
      </c>
      <c r="D7" s="21">
        <f>IF(DAY(OctSun1)=1,OctSun1+9,OctSun1+16)</f>
        <v>46308</v>
      </c>
      <c r="E7" s="21">
        <f>IF(DAY(OctSun1)=1,OctSun1+10,OctSun1+17)</f>
        <v>46309</v>
      </c>
      <c r="F7" s="21">
        <f>IF(DAY(OctSun1)=1,OctSun1+11,OctSun1+18)</f>
        <v>46310</v>
      </c>
      <c r="G7" s="21">
        <f>IF(DAY(OctSun1)=1,OctSun1+12,OctSun1+19)</f>
        <v>46311</v>
      </c>
      <c r="H7" s="21">
        <f>IF(DAY(OctSun1)=1,OctSun1+13,OctSun1+20)</f>
        <v>46312</v>
      </c>
      <c r="I7" s="21">
        <f>IF(DAY(OctSun1)=1,OctSun1+14,OctSun1+21)</f>
        <v>46313</v>
      </c>
      <c r="J7" s="7"/>
      <c r="K7" s="2"/>
    </row>
    <row r="8" spans="1:12" ht="30" customHeight="1">
      <c r="A8" s="9"/>
      <c r="C8" s="21">
        <f>IF(DAY(OctSun1)=1,OctSun1+15,OctSun1+22)</f>
        <v>46314</v>
      </c>
      <c r="D8" s="21">
        <f>IF(DAY(OctSun1)=1,OctSun1+16,OctSun1+23)</f>
        <v>46315</v>
      </c>
      <c r="E8" s="21">
        <f>IF(DAY(OctSun1)=1,OctSun1+17,OctSun1+24)</f>
        <v>46316</v>
      </c>
      <c r="F8" s="21">
        <f>IF(DAY(OctSun1)=1,OctSun1+18,OctSun1+25)</f>
        <v>46317</v>
      </c>
      <c r="G8" s="21">
        <f>IF(DAY(OctSun1)=1,OctSun1+19,OctSun1+26)</f>
        <v>46318</v>
      </c>
      <c r="H8" s="21">
        <f>IF(DAY(OctSun1)=1,OctSun1+20,OctSun1+27)</f>
        <v>46319</v>
      </c>
      <c r="I8" s="21">
        <f>IF(DAY(OctSun1)=1,OctSun1+21,OctSun1+28)</f>
        <v>46320</v>
      </c>
      <c r="J8" s="7"/>
      <c r="K8" s="2"/>
    </row>
    <row r="9" spans="1:12" ht="30" customHeight="1">
      <c r="A9" s="9"/>
      <c r="C9" s="21">
        <f>IF(DAY(OctSun1)=1,OctSun1+22,OctSun1+29)</f>
        <v>46321</v>
      </c>
      <c r="D9" s="21">
        <f>IF(DAY(OctSun1)=1,OctSun1+23,OctSun1+30)</f>
        <v>46322</v>
      </c>
      <c r="E9" s="21">
        <f>IF(DAY(OctSun1)=1,OctSun1+24,OctSun1+31)</f>
        <v>46323</v>
      </c>
      <c r="F9" s="21">
        <f>IF(DAY(OctSun1)=1,OctSun1+25,OctSun1+32)</f>
        <v>46324</v>
      </c>
      <c r="G9" s="21">
        <f>IF(DAY(OctSun1)=1,OctSun1+26,OctSun1+33)</f>
        <v>46325</v>
      </c>
      <c r="H9" s="21">
        <f>IF(DAY(OctSun1)=1,OctSun1+27,OctSun1+34)</f>
        <v>46326</v>
      </c>
      <c r="I9" s="21">
        <f>IF(DAY(OctSun1)=1,OctSun1+28,OctSun1+35)</f>
        <v>46327</v>
      </c>
      <c r="J9" s="1"/>
      <c r="K9" s="14"/>
    </row>
    <row r="10" spans="1:12" ht="30" customHeight="1">
      <c r="A10" s="9"/>
      <c r="B10" s="12"/>
      <c r="C10" s="21">
        <f>IF(DAY(OctSun1)=1,OctSun1+29,OctSun1+36)</f>
        <v>46328</v>
      </c>
      <c r="D10" s="21">
        <f>IF(DAY(OctSun1)=1,OctSun1+30,OctSun1+37)</f>
        <v>46329</v>
      </c>
      <c r="E10" s="21">
        <f>IF(DAY(OctSun1)=1,OctSun1+31,OctSun1+38)</f>
        <v>46330</v>
      </c>
      <c r="F10" s="21">
        <f>IF(DAY(OctSun1)=1,OctSun1+32,OctSun1+39)</f>
        <v>46331</v>
      </c>
      <c r="G10" s="21">
        <f>IF(DAY(OctSun1)=1,OctSun1+33,OctSun1+40)</f>
        <v>46332</v>
      </c>
      <c r="H10" s="21">
        <f>IF(DAY(OctSun1)=1,OctSun1+34,OctSun1+41)</f>
        <v>46333</v>
      </c>
      <c r="I10" s="21">
        <f>IF(DAY(OctSun1)=1,OctSun1+35,OctSun1+42)</f>
        <v>46334</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70"/>
      <c r="D14" s="70"/>
      <c r="E14" s="70"/>
      <c r="F14" s="70"/>
      <c r="G14" s="70"/>
      <c r="H14" s="70"/>
      <c r="I14" s="40"/>
      <c r="J14" s="7"/>
      <c r="K14" s="2"/>
    </row>
    <row r="15" spans="1:12" ht="30" customHeight="1">
      <c r="A15" s="18"/>
      <c r="B15" s="35"/>
      <c r="C15" s="58"/>
      <c r="D15" s="58"/>
      <c r="E15" s="58"/>
      <c r="F15" s="58"/>
      <c r="G15" s="58"/>
      <c r="H15" s="58"/>
      <c r="I15" s="36"/>
      <c r="J15" s="1"/>
      <c r="K15" s="14"/>
      <c r="L15" s="13"/>
    </row>
    <row r="16" spans="1:12" ht="30" customHeight="1">
      <c r="A16" s="18"/>
      <c r="B16" s="50"/>
      <c r="C16" s="64"/>
      <c r="D16" s="64"/>
      <c r="E16" s="64"/>
      <c r="F16" s="64"/>
      <c r="G16" s="64"/>
      <c r="H16" s="64"/>
      <c r="I16" s="52"/>
      <c r="J16" s="7"/>
      <c r="K16" s="17"/>
    </row>
  </sheetData>
  <sheetProtection algorithmName="SHA-512" hashValue="Y4ppZks1Og8UOfh3EaxzqHYDeFFORDQiw2oOJ8Tq8R+tkBlOV4oHfDGrS1b1PJu5V5f7kCR/aBV2bSfoFC6Hfg==" saltValue="aYDJ9ytxudzQJCIXclEgRQ=="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21" priority="5">
      <formula>B14&lt;&gt;""</formula>
    </cfRule>
  </conditionalFormatting>
  <conditionalFormatting sqref="B14:I16">
    <cfRule type="expression" dxfId="20" priority="1">
      <formula>COLUMN(B14)&gt;2</formula>
    </cfRule>
  </conditionalFormatting>
  <conditionalFormatting sqref="B15:I15">
    <cfRule type="expression" dxfId="19" priority="2">
      <formula>COLUMN(B15)&gt;=2</formula>
    </cfRule>
    <cfRule type="expression" dxfId="18" priority="4">
      <formula>COLUMN(B13)&gt;2</formula>
    </cfRule>
    <cfRule type="expression" dxfId="17" priority="6">
      <formula>B15&lt;&gt;""</formula>
    </cfRule>
  </conditionalFormatting>
  <conditionalFormatting sqref="C5:H5">
    <cfRule type="expression" dxfId="16" priority="8" stopIfTrue="1">
      <formula>DAY(C5)&gt;8</formula>
    </cfRule>
  </conditionalFormatting>
  <conditionalFormatting sqref="C5:I10">
    <cfRule type="expression" dxfId="15" priority="9">
      <formula>VLOOKUP(DAY(C5),AssignmentDays,1,FALSE)=DAY(C5)</formula>
    </cfRule>
  </conditionalFormatting>
  <conditionalFormatting sqref="C9:I10">
    <cfRule type="expression" dxfId="14" priority="7" stopIfTrue="1">
      <formula>AND(DAY(C9)&gt;=1,DAY(C9)&lt;=15)</formula>
    </cfRule>
  </conditionalFormatting>
  <dataValidations count="16">
    <dataValidation allowBlank="1" showInputMessage="1" showErrorMessage="1" prompt="El calendario de octubre resalta automáticamente las entradas de la lista de tareas para el mes. Las fuentes más oscuras indican tareas. Las fuentes más claras indican días que pertenecen al mes anterior o al mes siguiente" sqref="B4" xr:uid="{00000000-0002-0000-0900-000000000000}"/>
    <dataValidation allowBlank="1" showInputMessage="1" showErrorMessage="1" prompt="Se actualiza automáticamente el año natural. Para cambiar el año, actualice la celda B1 en la hoja de cálculo ene" sqref="B3" xr:uid="{00000000-0002-0000-0900-000001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900-000002000000}"/>
    <dataValidation allowBlank="1" showInputMessage="1" showErrorMessage="1" prompt="Las celdas C2 a I2 contienen días de la semana." sqref="C4" xr:uid="{00000000-0002-0000-0900-000003000000}"/>
    <dataValidation allowBlank="1" showInputMessage="1" showErrorMessage="1" prompt="Si esta celda no contiene el número 1, se trata de un día de del mes anterior. Las celdas C3 a I8 contienen fechas para el mes actual" sqref="C5" xr:uid="{00000000-0002-0000-0900-000004000000}"/>
    <dataValidation allowBlank="1" showInputMessage="1" showErrorMessage="1" prompt="Si esta fila contiene un número menor que el número o la fila de números anterior, en ese caso, esta fila contiene fechas para el próximo mes del calendario." sqref="C10" xr:uid="{00000000-0002-0000-0900-000005000000}"/>
    <dataValidation allowBlank="1" showInputMessage="1" showErrorMessage="1" prompt="Escriba la hora en esta fila, de la columna B a la I" sqref="B14" xr:uid="{00000000-0002-0000-0900-000006000000}"/>
    <dataValidation allowBlank="1" showInputMessage="1" showErrorMessage="1" prompt="Escriba la clase en esta fila, de la columna B a la I." sqref="B15" xr:uid="{00000000-0002-0000-09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900-000008000000}"/>
    <dataValidation allowBlank="1" showInputMessage="1" showErrorMessage="1" prompt="Escriba en esta columna los detalles de la tarea correspondientes al día de la semana en la columna J y al día en la columna K del mes calendario de la izquierda." sqref="L3" xr:uid="{00000000-0002-0000-09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900-00000A000000}"/>
    <dataValidation allowBlank="1" showInputMessage="1" showErrorMessage="1" prompt="Los días de la semana se encuentran en esta fila, del lunes al viernes." sqref="B13" xr:uid="{00000000-0002-0000-09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900-00000C000000}"/>
    <dataValidation allowBlank="1" showInputMessage="1" showErrorMessage="1" prompt="El nombre de la clase va en esta fila, empezando en la celda a la derecha" sqref="A15" xr:uid="{18291D5D-D9B3-4C58-AC0E-46F02C1523D7}"/>
    <dataValidation allowBlank="1" showInputMessage="1" showErrorMessage="1" prompt="El tiempo de clase va en esta fila, empezando en la celda hasta la derecha_x000a_" sqref="A14 A16" xr:uid="{88CD2A0E-5409-46AC-A773-96BEE00759F1}"/>
    <dataValidation allowBlank="1" showInputMessage="1" showErrorMessage="1" prompt="El día de la semana va en esta fila, empezando en la celda B11" sqref="A13" xr:uid="{8FB09B96-784A-4CCF-BF1B-357A8D54AB75}"/>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8" t="s">
        <v>19</v>
      </c>
      <c r="C4" s="5" t="s">
        <v>3</v>
      </c>
      <c r="D4" s="5" t="s">
        <v>4</v>
      </c>
      <c r="E4" s="5" t="s">
        <v>5</v>
      </c>
      <c r="F4" s="5" t="s">
        <v>6</v>
      </c>
      <c r="G4" s="5" t="s">
        <v>7</v>
      </c>
      <c r="H4" s="5" t="s">
        <v>8</v>
      </c>
      <c r="I4" s="5" t="s">
        <v>9</v>
      </c>
      <c r="J4" s="47" t="s">
        <v>30</v>
      </c>
      <c r="K4" s="45">
        <v>30</v>
      </c>
      <c r="L4" t="s">
        <v>39</v>
      </c>
    </row>
    <row r="5" spans="1:12" ht="30" customHeight="1">
      <c r="A5" s="9"/>
      <c r="C5" s="21">
        <f>IF(DAY(NovSun1)=1,NovSun1-6,NovSun1+1)</f>
        <v>46321</v>
      </c>
      <c r="D5" s="21">
        <f>IF(DAY(NovSun1)=1,NovSun1-5,NovSun1+2)</f>
        <v>46322</v>
      </c>
      <c r="E5" s="21">
        <f>IF(DAY(NovSun1)=1,NovSun1-4,NovSun1+3)</f>
        <v>46323</v>
      </c>
      <c r="F5" s="21">
        <f>IF(DAY(NovSun1)=1,NovSun1-3,NovSun1+4)</f>
        <v>46324</v>
      </c>
      <c r="G5" s="21">
        <f>IF(DAY(NovSun1)=1,NovSun1-2,NovSun1+5)</f>
        <v>46325</v>
      </c>
      <c r="H5" s="21">
        <f>IF(DAY(NovSun1)=1,NovSun1-1,NovSun1+6)</f>
        <v>46326</v>
      </c>
      <c r="I5" s="21">
        <f>IF(DAY(NovSun1)=1,NovSun1,NovSun1+7)</f>
        <v>46327</v>
      </c>
      <c r="J5" s="7"/>
      <c r="K5" s="2"/>
      <c r="L5" t="s">
        <v>40</v>
      </c>
    </row>
    <row r="6" spans="1:12" ht="30" customHeight="1">
      <c r="A6" s="9"/>
      <c r="C6" s="21">
        <f>IF(DAY(NovSun1)=1,NovSun1+1,NovSun1+8)</f>
        <v>46328</v>
      </c>
      <c r="D6" s="21">
        <f>IF(DAY(NovSun1)=1,NovSun1+2,NovSun1+9)</f>
        <v>46329</v>
      </c>
      <c r="E6" s="21">
        <f>IF(DAY(NovSun1)=1,NovSun1+3,NovSun1+10)</f>
        <v>46330</v>
      </c>
      <c r="F6" s="21">
        <f>IF(DAY(NovSun1)=1,NovSun1+4,NovSun1+11)</f>
        <v>46331</v>
      </c>
      <c r="G6" s="21">
        <f>IF(DAY(NovSun1)=1,NovSun1+5,NovSun1+12)</f>
        <v>46332</v>
      </c>
      <c r="H6" s="21">
        <f>IF(DAY(NovSun1)=1,NovSun1+6,NovSun1+13)</f>
        <v>46333</v>
      </c>
      <c r="I6" s="21">
        <f>IF(DAY(NovSun1)=1,NovSun1+7,NovSun1+14)</f>
        <v>46334</v>
      </c>
      <c r="J6" s="7"/>
      <c r="K6" s="2"/>
      <c r="L6" t="s">
        <v>41</v>
      </c>
    </row>
    <row r="7" spans="1:12" ht="30" customHeight="1">
      <c r="A7" s="9"/>
      <c r="C7" s="21">
        <f>IF(DAY(NovSun1)=1,NovSun1+8,NovSun1+15)</f>
        <v>46335</v>
      </c>
      <c r="D7" s="21">
        <f>IF(DAY(NovSun1)=1,NovSun1+9,NovSun1+16)</f>
        <v>46336</v>
      </c>
      <c r="E7" s="21">
        <f>IF(DAY(NovSun1)=1,NovSun1+10,NovSun1+17)</f>
        <v>46337</v>
      </c>
      <c r="F7" s="21">
        <f>IF(DAY(NovSun1)=1,NovSun1+11,NovSun1+18)</f>
        <v>46338</v>
      </c>
      <c r="G7" s="21">
        <f>IF(DAY(NovSun1)=1,NovSun1+12,NovSun1+19)</f>
        <v>46339</v>
      </c>
      <c r="H7" s="21">
        <f>IF(DAY(NovSun1)=1,NovSun1+13,NovSun1+20)</f>
        <v>46340</v>
      </c>
      <c r="I7" s="21">
        <f>IF(DAY(NovSun1)=1,NovSun1+14,NovSun1+21)</f>
        <v>46341</v>
      </c>
      <c r="J7" s="7"/>
      <c r="K7" s="2"/>
      <c r="L7" s="32" t="s">
        <v>42</v>
      </c>
    </row>
    <row r="8" spans="1:12" ht="30" customHeight="1">
      <c r="A8" s="9"/>
      <c r="C8" s="21">
        <f>IF(DAY(NovSun1)=1,NovSun1+15,NovSun1+22)</f>
        <v>46342</v>
      </c>
      <c r="D8" s="21">
        <f>IF(DAY(NovSun1)=1,NovSun1+16,NovSun1+23)</f>
        <v>46343</v>
      </c>
      <c r="E8" s="21">
        <f>IF(DAY(NovSun1)=1,NovSun1+17,NovSun1+24)</f>
        <v>46344</v>
      </c>
      <c r="F8" s="21">
        <f>IF(DAY(NovSun1)=1,NovSun1+18,NovSun1+25)</f>
        <v>46345</v>
      </c>
      <c r="G8" s="21">
        <f>IF(DAY(NovSun1)=1,NovSun1+19,NovSun1+26)</f>
        <v>46346</v>
      </c>
      <c r="H8" s="21">
        <f>IF(DAY(NovSun1)=1,NovSun1+20,NovSun1+27)</f>
        <v>46347</v>
      </c>
      <c r="I8" s="21">
        <f>IF(DAY(NovSun1)=1,NovSun1+21,NovSun1+28)</f>
        <v>46348</v>
      </c>
      <c r="J8" s="7"/>
      <c r="K8" s="2"/>
      <c r="L8" s="44" t="s">
        <v>43</v>
      </c>
    </row>
    <row r="9" spans="1:12" ht="30" customHeight="1">
      <c r="A9" s="9"/>
      <c r="C9" s="21">
        <f>IF(DAY(NovSun1)=1,NovSun1+22,NovSun1+29)</f>
        <v>46349</v>
      </c>
      <c r="D9" s="21">
        <f>IF(DAY(NovSun1)=1,NovSun1+23,NovSun1+30)</f>
        <v>46350</v>
      </c>
      <c r="E9" s="21">
        <f>IF(DAY(NovSun1)=1,NovSun1+24,NovSun1+31)</f>
        <v>46351</v>
      </c>
      <c r="F9" s="21">
        <f>IF(DAY(NovSun1)=1,NovSun1+25,NovSun1+32)</f>
        <v>46352</v>
      </c>
      <c r="G9" s="21">
        <f>IF(DAY(NovSun1)=1,NovSun1+26,NovSun1+33)</f>
        <v>46353</v>
      </c>
      <c r="H9" s="21">
        <f>IF(DAY(NovSun1)=1,NovSun1+27,NovSun1+34)</f>
        <v>46354</v>
      </c>
      <c r="I9" s="21">
        <f>IF(DAY(NovSun1)=1,NovSun1+28,NovSun1+35)</f>
        <v>46355</v>
      </c>
      <c r="J9" s="1"/>
      <c r="K9" s="48"/>
      <c r="L9" s="44" t="s">
        <v>28</v>
      </c>
    </row>
    <row r="10" spans="1:12" ht="30" customHeight="1">
      <c r="A10" s="9"/>
      <c r="B10" s="12"/>
      <c r="C10" s="21">
        <f>IF(DAY(NovSun1)=1,NovSun1+29,NovSun1+36)</f>
        <v>46356</v>
      </c>
      <c r="D10" s="21">
        <f>IF(DAY(NovSun1)=1,NovSun1+30,NovSun1+37)</f>
        <v>46357</v>
      </c>
      <c r="E10" s="21">
        <f>IF(DAY(NovSun1)=1,NovSun1+31,NovSun1+38)</f>
        <v>46358</v>
      </c>
      <c r="F10" s="21">
        <f>IF(DAY(NovSun1)=1,NovSun1+32,NovSun1+39)</f>
        <v>46359</v>
      </c>
      <c r="G10" s="21">
        <f>IF(DAY(NovSun1)=1,NovSun1+33,NovSun1+40)</f>
        <v>46360</v>
      </c>
      <c r="H10" s="21">
        <f>IF(DAY(NovSun1)=1,NovSun1+34,NovSun1+41)</f>
        <v>46361</v>
      </c>
      <c r="I10" s="21">
        <f>IF(DAY(NovSun1)=1,NovSun1+35,NovSun1+42)</f>
        <v>46362</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
      <c r="K15" s="14"/>
      <c r="L15" s="13"/>
    </row>
    <row r="16" spans="1:12" ht="30" customHeight="1">
      <c r="A16" s="18"/>
      <c r="B16" s="50"/>
      <c r="C16" s="61"/>
      <c r="D16" s="61"/>
      <c r="E16" s="61"/>
      <c r="F16" s="61"/>
      <c r="G16" s="61"/>
      <c r="H16" s="61"/>
      <c r="I16" s="52"/>
      <c r="J16" s="7"/>
      <c r="K16" s="17"/>
    </row>
  </sheetData>
  <sheetProtection algorithmName="SHA-512" hashValue="Y1dNEMa6VemW4XxzTx8J4l6z2qn2G9o+y5691rEIKOOklmZ4sLA6pyLrmPTpkF0c/++MJSszkaKLdRXEwXGOqA==" saltValue="9dNauvR16qj49Bz1IkPRbQ=="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13" priority="3">
      <formula>B14&lt;&gt;""</formula>
    </cfRule>
  </conditionalFormatting>
  <conditionalFormatting sqref="B14:I16">
    <cfRule type="expression" dxfId="12" priority="1">
      <formula>COLUMN(B14)&gt;2</formula>
    </cfRule>
  </conditionalFormatting>
  <conditionalFormatting sqref="B15:I15">
    <cfRule type="expression" dxfId="11" priority="2">
      <formula>COLUMN(B15)&gt;=2</formula>
    </cfRule>
    <cfRule type="expression" dxfId="10" priority="4">
      <formula>B15&lt;&gt;""</formula>
    </cfRule>
  </conditionalFormatting>
  <conditionalFormatting sqref="C5:H5">
    <cfRule type="expression" dxfId="9" priority="6" stopIfTrue="1">
      <formula>DAY(C5)&gt;8</formula>
    </cfRule>
  </conditionalFormatting>
  <conditionalFormatting sqref="C5:I10">
    <cfRule type="expression" dxfId="8" priority="7">
      <formula>VLOOKUP(DAY(C5),AssignmentDays,1,FALSE)=DAY(C5)</formula>
    </cfRule>
  </conditionalFormatting>
  <conditionalFormatting sqref="C9:I10">
    <cfRule type="expression" dxfId="7" priority="5" stopIfTrue="1">
      <formula>AND(DAY(C9)&gt;=1,DAY(C9)&lt;=15)</formula>
    </cfRule>
  </conditionalFormatting>
  <dataValidations xWindow="136" yWindow="382" count="16">
    <dataValidation allowBlank="1" showInputMessage="1" showErrorMessage="1" prompt="Escriba la clase en esta fila, de la columna B a la I." sqref="B15" xr:uid="{00000000-0002-0000-0A00-000000000000}"/>
    <dataValidation allowBlank="1" showInputMessage="1" showErrorMessage="1" prompt="Escriba la hora en esta fila, de la columna B a la I" sqref="B14" xr:uid="{00000000-0002-0000-0A00-000001000000}"/>
    <dataValidation allowBlank="1" showInputMessage="1" showErrorMessage="1" prompt="Si esta fila contiene un número menor que el número o la fila de números anterior, en ese caso, esta fila contiene fechas para el próximo mes del calendario." sqref="C10" xr:uid="{00000000-0002-0000-0A00-000002000000}"/>
    <dataValidation allowBlank="1" showInputMessage="1" showErrorMessage="1" prompt="Si esta celda no contiene el número 1, se trata de un día de del mes anterior. Las celdas C3 a I8 contienen fechas para el mes actual" sqref="C5" xr:uid="{00000000-0002-0000-0A00-000003000000}"/>
    <dataValidation allowBlank="1" showInputMessage="1" showErrorMessage="1" prompt="Las celdas C2 a I2 contienen días de la semana." sqref="C4" xr:uid="{00000000-0002-0000-0A00-000004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A00-000005000000}"/>
    <dataValidation allowBlank="1" showInputMessage="1" showErrorMessage="1" prompt="Se actualiza automáticamente el año natural. Para cambiar el año, actualice la celda B1 en la hoja de cálculo ene" sqref="B3" xr:uid="{00000000-0002-0000-0A00-000006000000}"/>
    <dataValidation allowBlank="1" showInputMessage="1" showErrorMessage="1" prompt="El calendario de noviembre resalta automáticamente las entradas de la lista de tareas para el mes. Las fuentes más oscuras indican tareas. Las fuentes más claras indican días que pertenecen al mes anterior o al mes siguiente" sqref="B4" xr:uid="{00000000-0002-0000-0A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A00-000008000000}"/>
    <dataValidation allowBlank="1" showInputMessage="1" showErrorMessage="1" prompt="Escriba en esta columna los detalles de la tarea correspondientes al día de la semana en la columna J y al día en la columna K del mes calendario de la izquierda." sqref="L3" xr:uid="{00000000-0002-0000-0A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A00-00000A000000}"/>
    <dataValidation allowBlank="1" showInputMessage="1" showErrorMessage="1" prompt="Los días de la semana se encuentran en esta fila, del lunes al viernes." sqref="B13" xr:uid="{00000000-0002-0000-0A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A00-00000C000000}"/>
    <dataValidation allowBlank="1" showInputMessage="1" showErrorMessage="1" prompt="El nombre de la clase va en esta fila, empezando en la celda a la derecha" sqref="A15" xr:uid="{A4EADA76-19FD-46F7-AF54-199FB313697F}"/>
    <dataValidation allowBlank="1" showInputMessage="1" showErrorMessage="1" prompt="El tiempo de clase va en esta fila, empezando en la celda hasta la derecha_x000a_" sqref="A14 A16" xr:uid="{15463A7A-D122-456B-9195-71523A803B5F}"/>
    <dataValidation allowBlank="1" showInputMessage="1" showErrorMessage="1" prompt="El día de la semana va en esta fila, empezando en la celda B11" sqref="A13" xr:uid="{FF617D2C-95EA-46B1-9A76-A36F0A9FAF15}"/>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pageSetUpPr fitToPage="1"/>
  </sheetPr>
  <dimension ref="A3:L16"/>
  <sheetViews>
    <sheetView showGridLines="0" showRowColHeaders="0" zoomScale="90" zoomScaleNormal="90" zoomScalePageLayoutView="84" workbookViewId="0">
      <selection activeCell="B20" sqref="B20"/>
    </sheetView>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8" t="s">
        <v>20</v>
      </c>
      <c r="C4" s="5" t="s">
        <v>3</v>
      </c>
      <c r="D4" s="5" t="s">
        <v>4</v>
      </c>
      <c r="E4" s="5" t="s">
        <v>5</v>
      </c>
      <c r="F4" s="5" t="s">
        <v>6</v>
      </c>
      <c r="G4" s="5" t="s">
        <v>7</v>
      </c>
      <c r="H4" s="5" t="s">
        <v>8</v>
      </c>
      <c r="I4" s="5" t="s">
        <v>9</v>
      </c>
      <c r="J4" s="47" t="s">
        <v>30</v>
      </c>
      <c r="K4" s="49">
        <v>15</v>
      </c>
      <c r="L4" s="32" t="s">
        <v>22</v>
      </c>
    </row>
    <row r="5" spans="1:12" ht="30" customHeight="1">
      <c r="A5" s="9"/>
      <c r="C5" s="21">
        <f>IF(DAY(DecSun1)=1,DecSun1-6,DecSun1+1)</f>
        <v>46356</v>
      </c>
      <c r="D5" s="21">
        <f>IF(DAY(DecSun1)=1,DecSun1-5,DecSun1+2)</f>
        <v>46357</v>
      </c>
      <c r="E5" s="21">
        <f>IF(DAY(DecSun1)=1,DecSun1-4,DecSun1+3)</f>
        <v>46358</v>
      </c>
      <c r="F5" s="21">
        <f>IF(DAY(DecSun1)=1,DecSun1-3,DecSun1+4)</f>
        <v>46359</v>
      </c>
      <c r="G5" s="21">
        <f>IF(DAY(DecSun1)=1,DecSun1-2,DecSun1+5)</f>
        <v>46360</v>
      </c>
      <c r="H5" s="21">
        <f>IF(DAY(DecSun1)=1,DecSun1-1,DecSun1+6)</f>
        <v>46361</v>
      </c>
      <c r="I5" s="21">
        <f>IF(DAY(DecSun1)=1,DecSun1,DecSun1+7)</f>
        <v>46362</v>
      </c>
      <c r="J5" s="7"/>
      <c r="K5" s="49"/>
      <c r="L5" t="s">
        <v>45</v>
      </c>
    </row>
    <row r="6" spans="1:12" ht="30" customHeight="1">
      <c r="A6" s="9"/>
      <c r="C6" s="21">
        <f>IF(DAY(DecSun1)=1,DecSun1+1,DecSun1+8)</f>
        <v>46363</v>
      </c>
      <c r="D6" s="21">
        <f>IF(DAY(DecSun1)=1,DecSun1+2,DecSun1+9)</f>
        <v>46364</v>
      </c>
      <c r="E6" s="21">
        <f>IF(DAY(DecSun1)=1,DecSun1+3,DecSun1+10)</f>
        <v>46365</v>
      </c>
      <c r="F6" s="21">
        <f>IF(DAY(DecSun1)=1,DecSun1+4,DecSun1+11)</f>
        <v>46366</v>
      </c>
      <c r="G6" s="21">
        <f>IF(DAY(DecSun1)=1,DecSun1+5,DecSun1+12)</f>
        <v>46367</v>
      </c>
      <c r="H6" s="21">
        <f>IF(DAY(DecSun1)=1,DecSun1+6,DecSun1+13)</f>
        <v>46368</v>
      </c>
      <c r="I6" s="21">
        <f>IF(DAY(DecSun1)=1,DecSun1+7,DecSun1+14)</f>
        <v>46369</v>
      </c>
      <c r="J6" s="7"/>
      <c r="K6" s="49"/>
      <c r="L6" s="32" t="s">
        <v>48</v>
      </c>
    </row>
    <row r="7" spans="1:12" ht="30" customHeight="1">
      <c r="A7" s="9"/>
      <c r="C7" s="21">
        <f>IF(DAY(DecSun1)=1,DecSun1+8,DecSun1+15)</f>
        <v>46370</v>
      </c>
      <c r="D7" s="21">
        <f>IF(DAY(DecSun1)=1,DecSun1+9,DecSun1+16)</f>
        <v>46371</v>
      </c>
      <c r="E7" s="21">
        <f>IF(DAY(DecSun1)=1,DecSun1+10,DecSun1+17)</f>
        <v>46372</v>
      </c>
      <c r="F7" s="21">
        <f>IF(DAY(DecSun1)=1,DecSun1+11,DecSun1+18)</f>
        <v>46373</v>
      </c>
      <c r="G7" s="21">
        <f>IF(DAY(DecSun1)=1,DecSun1+12,DecSun1+19)</f>
        <v>46374</v>
      </c>
      <c r="H7" s="21">
        <f>IF(DAY(DecSun1)=1,DecSun1+13,DecSun1+20)</f>
        <v>46375</v>
      </c>
      <c r="I7" s="21">
        <f>IF(DAY(DecSun1)=1,DecSun1+14,DecSun1+21)</f>
        <v>46376</v>
      </c>
      <c r="J7" s="7"/>
      <c r="K7" s="2"/>
      <c r="L7" t="s">
        <v>35</v>
      </c>
    </row>
    <row r="8" spans="1:12" ht="30" customHeight="1">
      <c r="A8" s="9"/>
      <c r="C8" s="21">
        <f>IF(DAY(DecSun1)=1,DecSun1+15,DecSun1+22)</f>
        <v>46377</v>
      </c>
      <c r="D8" s="21">
        <f>IF(DAY(DecSun1)=1,DecSun1+16,DecSun1+23)</f>
        <v>46378</v>
      </c>
      <c r="E8" s="21">
        <f>IF(DAY(DecSun1)=1,DecSun1+17,DecSun1+24)</f>
        <v>46379</v>
      </c>
      <c r="F8" s="21">
        <f>IF(DAY(DecSun1)=1,DecSun1+18,DecSun1+25)</f>
        <v>46380</v>
      </c>
      <c r="G8" s="21">
        <f>IF(DAY(DecSun1)=1,DecSun1+19,DecSun1+26)</f>
        <v>46381</v>
      </c>
      <c r="H8" s="21">
        <f>IF(DAY(DecSun1)=1,DecSun1+20,DecSun1+27)</f>
        <v>46382</v>
      </c>
      <c r="I8" s="21">
        <f>IF(DAY(DecSun1)=1,DecSun1+21,DecSun1+28)</f>
        <v>46383</v>
      </c>
      <c r="J8" s="7"/>
      <c r="K8" s="2">
        <v>20</v>
      </c>
      <c r="L8" s="32" t="s">
        <v>46</v>
      </c>
    </row>
    <row r="9" spans="1:12" ht="30" customHeight="1">
      <c r="A9" s="9"/>
      <c r="C9" s="21">
        <f>IF(DAY(DecSun1)=1,DecSun1+22,DecSun1+29)</f>
        <v>46384</v>
      </c>
      <c r="D9" s="21">
        <f>IF(DAY(DecSun1)=1,DecSun1+23,DecSun1+30)</f>
        <v>46385</v>
      </c>
      <c r="E9" s="21">
        <f>IF(DAY(DecSun1)=1,DecSun1+24,DecSun1+31)</f>
        <v>46386</v>
      </c>
      <c r="F9" s="21">
        <f>IF(DAY(DecSun1)=1,DecSun1+25,DecSun1+32)</f>
        <v>46387</v>
      </c>
      <c r="G9" s="21">
        <f>IF(DAY(DecSun1)=1,DecSun1+26,DecSun1+33)</f>
        <v>46388</v>
      </c>
      <c r="H9" s="21">
        <f>IF(DAY(DecSun1)=1,DecSun1+27,DecSun1+34)</f>
        <v>46389</v>
      </c>
      <c r="I9" s="21">
        <f>IF(DAY(DecSun1)=1,DecSun1+28,DecSun1+35)</f>
        <v>46390</v>
      </c>
      <c r="J9" s="16"/>
      <c r="K9" s="49"/>
      <c r="L9" s="32" t="s">
        <v>47</v>
      </c>
    </row>
    <row r="10" spans="1:12" ht="30" customHeight="1">
      <c r="A10" s="9"/>
      <c r="B10" s="12"/>
      <c r="C10" s="21">
        <f>IF(DAY(DecSun1)=1,DecSun1+29,DecSun1+36)</f>
        <v>46391</v>
      </c>
      <c r="D10" s="21">
        <f>IF(DAY(DecSun1)=1,DecSun1+30,DecSun1+37)</f>
        <v>46392</v>
      </c>
      <c r="E10" s="21">
        <f>IF(DAY(DecSun1)=1,DecSun1+31,DecSun1+38)</f>
        <v>46393</v>
      </c>
      <c r="F10" s="21">
        <f>IF(DAY(DecSun1)=1,DecSun1+32,DecSun1+39)</f>
        <v>46394</v>
      </c>
      <c r="G10" s="21">
        <f>IF(DAY(DecSun1)=1,DecSun1+33,DecSun1+40)</f>
        <v>46395</v>
      </c>
      <c r="H10" s="21">
        <f>IF(DAY(DecSun1)=1,DecSun1+34,DecSun1+41)</f>
        <v>46396</v>
      </c>
      <c r="I10" s="21">
        <f>IF(DAY(DecSun1)=1,DecSun1+35,DecSun1+42)</f>
        <v>46397</v>
      </c>
      <c r="J10" s="7"/>
      <c r="K10" s="49">
        <v>30</v>
      </c>
      <c r="L10" s="32" t="s">
        <v>49</v>
      </c>
    </row>
    <row r="11" spans="1:12" ht="30" customHeight="1">
      <c r="A11" s="9"/>
      <c r="C11" s="3"/>
      <c r="D11" s="3"/>
      <c r="E11" s="3"/>
      <c r="F11" s="3"/>
      <c r="G11" s="3"/>
      <c r="H11" s="3"/>
      <c r="I11" s="3"/>
      <c r="J11" s="7"/>
      <c r="K11" s="2"/>
      <c r="L11" t="s">
        <v>50</v>
      </c>
    </row>
    <row r="12" spans="1:12" ht="30" customHeight="1">
      <c r="A12" s="9"/>
      <c r="B12" s="11"/>
      <c r="C12" s="6"/>
      <c r="D12" s="6"/>
      <c r="E12" s="6"/>
      <c r="F12" s="6"/>
      <c r="G12" s="6"/>
      <c r="H12" s="6"/>
      <c r="I12" s="6"/>
      <c r="J12" s="7"/>
      <c r="K12" s="2"/>
      <c r="L12" s="32" t="s">
        <v>51</v>
      </c>
    </row>
    <row r="13" spans="1:12" ht="30" customHeight="1">
      <c r="A13" s="18"/>
      <c r="B13" s="39"/>
      <c r="C13" s="56"/>
      <c r="D13" s="56"/>
      <c r="E13" s="56"/>
      <c r="F13" s="56"/>
      <c r="G13" s="56"/>
      <c r="H13" s="56"/>
      <c r="I13" s="38"/>
      <c r="J13" s="7"/>
      <c r="K13" s="2"/>
      <c r="L13" s="32" t="s">
        <v>32</v>
      </c>
    </row>
    <row r="14" spans="1:12" ht="30" customHeight="1">
      <c r="A14" s="18"/>
      <c r="B14" s="33"/>
      <c r="C14" s="57"/>
      <c r="D14" s="57"/>
      <c r="E14" s="57"/>
      <c r="F14" s="57"/>
      <c r="G14" s="57"/>
      <c r="H14" s="57"/>
      <c r="I14" s="40"/>
      <c r="J14" s="7"/>
      <c r="K14" s="2"/>
      <c r="L14" s="32" t="s">
        <v>52</v>
      </c>
    </row>
    <row r="15" spans="1:12" ht="30" customHeight="1">
      <c r="A15" s="18"/>
      <c r="B15" s="35"/>
      <c r="C15" s="72"/>
      <c r="D15" s="72"/>
      <c r="E15" s="58"/>
      <c r="F15" s="58"/>
      <c r="G15" s="58"/>
      <c r="H15" s="58"/>
      <c r="I15" s="36"/>
      <c r="J15" s="16"/>
      <c r="K15" s="14"/>
      <c r="L15" s="12"/>
    </row>
    <row r="16" spans="1:12" ht="30" customHeight="1">
      <c r="A16" s="18"/>
      <c r="B16" s="71"/>
      <c r="C16" s="55"/>
      <c r="D16" s="55"/>
      <c r="E16" s="55"/>
      <c r="F16" s="55"/>
      <c r="G16" s="55"/>
      <c r="H16" s="55"/>
      <c r="I16" s="55"/>
      <c r="J16" s="7"/>
      <c r="K16" s="2"/>
    </row>
  </sheetData>
  <sheetProtection algorithmName="SHA-512" hashValue="Ns9odmIRjlS5kdPwvOb8owV8IsezESlkUh3SvO8BA8PBDFWAE2jZGN18xhdKvug2oHAWg7+x+xNgWvNHHTH92Q==" saltValue="5QcVNvQFz0eEgPra6DpiYA==" spinCount="100000" sheet="1" objects="1" scenarios="1"/>
  <mergeCells count="9">
    <mergeCell ref="C15:D15"/>
    <mergeCell ref="E15:F15"/>
    <mergeCell ref="G15:H15"/>
    <mergeCell ref="C13:D13"/>
    <mergeCell ref="E13:F13"/>
    <mergeCell ref="G13:H13"/>
    <mergeCell ref="C14:D14"/>
    <mergeCell ref="E14:F14"/>
    <mergeCell ref="G14:H14"/>
  </mergeCells>
  <conditionalFormatting sqref="B14:I14">
    <cfRule type="expression" dxfId="6" priority="3">
      <formula>B14&lt;&gt;""</formula>
    </cfRule>
  </conditionalFormatting>
  <conditionalFormatting sqref="B14:I15">
    <cfRule type="expression" dxfId="5" priority="1">
      <formula>COLUMN(B14)&gt;2</formula>
    </cfRule>
  </conditionalFormatting>
  <conditionalFormatting sqref="B15:I15">
    <cfRule type="expression" dxfId="4" priority="2">
      <formula>COLUMN(B15)&gt;=2</formula>
    </cfRule>
    <cfRule type="expression" dxfId="3" priority="4">
      <formula>B15&lt;&gt;""</formula>
    </cfRule>
  </conditionalFormatting>
  <conditionalFormatting sqref="C5:H5">
    <cfRule type="expression" dxfId="2" priority="6" stopIfTrue="1">
      <formula>DAY(C5)&gt;8</formula>
    </cfRule>
  </conditionalFormatting>
  <conditionalFormatting sqref="C5:I10">
    <cfRule type="expression" dxfId="1" priority="7">
      <formula>VLOOKUP(DAY(C5),AssignmentDays,1,FALSE)=DAY(C5)</formula>
    </cfRule>
  </conditionalFormatting>
  <conditionalFormatting sqref="C9:I10">
    <cfRule type="expression" dxfId="0" priority="5" stopIfTrue="1">
      <formula>AND(DAY(C9)&gt;=1,DAY(C9)&lt;=15)</formula>
    </cfRule>
  </conditionalFormatting>
  <dataValidations xWindow="282" yWindow="695" count="16">
    <dataValidation allowBlank="1" showInputMessage="1" showErrorMessage="1" prompt="El calendario de diciembre resalta automáticamente las entradas de la lista de tareas para el mes. Las fuentes más oscuras indican tareas. Las fuentes más claras indican días que pertenecen al mes anterior o al mes siguiente" sqref="B4" xr:uid="{00000000-0002-0000-0B00-000000000000}"/>
    <dataValidation allowBlank="1" showInputMessage="1" showErrorMessage="1" prompt="Se actualiza automáticamente el año natural. Para cambiar el año, actualice la celda B1 en la hoja de cálculo ene" sqref="B3" xr:uid="{00000000-0002-0000-0B00-000001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B00-000002000000}"/>
    <dataValidation allowBlank="1" showInputMessage="1" showErrorMessage="1" prompt="Las celdas C2 a I2 contienen días de la semana." sqref="C4" xr:uid="{00000000-0002-0000-0B00-000003000000}"/>
    <dataValidation allowBlank="1" showInputMessage="1" showErrorMessage="1" prompt="Si esta celda no contiene el número 1, se trata de un día de del mes anterior. Las celdas C3 a I8 contienen fechas para el mes actual" sqref="C5" xr:uid="{00000000-0002-0000-0B00-000004000000}"/>
    <dataValidation allowBlank="1" showInputMessage="1" showErrorMessage="1" prompt="Si esta fila contiene un número menor que el número o la fila de números anterior, en ese caso, esta fila contiene fechas para el próximo mes del calendario." sqref="C10" xr:uid="{00000000-0002-0000-0B00-000005000000}"/>
    <dataValidation allowBlank="1" showInputMessage="1" showErrorMessage="1" prompt="Escriba la hora en esta fila, de la columna B a la I" sqref="B14" xr:uid="{00000000-0002-0000-0B00-000006000000}"/>
    <dataValidation allowBlank="1" showInputMessage="1" showErrorMessage="1" prompt="Escriba la clase en esta fila, de la columna B a la I." sqref="B15" xr:uid="{00000000-0002-0000-0B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B00-000008000000}"/>
    <dataValidation allowBlank="1" showInputMessage="1" showErrorMessage="1" prompt="Escriba en esta columna los detalles de la tarea correspondientes al día de la semana en la columna J y al día en la columna K del mes calendario de la izquierda." sqref="L3" xr:uid="{00000000-0002-0000-0B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B00-00000A000000}"/>
    <dataValidation allowBlank="1" showInputMessage="1" showErrorMessage="1" prompt="Los días de la semana se encuentran en esta fila, del lunes al viernes." sqref="B13" xr:uid="{00000000-0002-0000-0B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B00-00000C000000}"/>
    <dataValidation allowBlank="1" showInputMessage="1" showErrorMessage="1" prompt="El nombre de la clase va en esta fila, empezando en la celda a la derecha" sqref="A15" xr:uid="{6B4CEE85-3E0F-4C4E-84A8-5B61A9837575}"/>
    <dataValidation allowBlank="1" showInputMessage="1" showErrorMessage="1" prompt="El tiempo de clase va en esta fila, empezando en la celda hasta la derecha_x000a_" sqref="A14 A16" xr:uid="{90DE2C82-6D96-4EA9-A0AA-FD6DB50FAB0C}"/>
    <dataValidation allowBlank="1" showInputMessage="1" showErrorMessage="1" prompt="El día de la semana va en esta fila, empezando en la celda B11" sqref="A13" xr:uid="{AE989AEA-F06D-4191-B6C8-96AF4EABFF99}"/>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7" t="s">
        <v>10</v>
      </c>
      <c r="C4" s="5" t="s">
        <v>3</v>
      </c>
      <c r="D4" s="5" t="s">
        <v>4</v>
      </c>
      <c r="E4" s="5" t="s">
        <v>5</v>
      </c>
      <c r="F4" s="5" t="s">
        <v>6</v>
      </c>
      <c r="G4" s="5" t="s">
        <v>7</v>
      </c>
      <c r="H4" s="5" t="s">
        <v>8</v>
      </c>
      <c r="I4" s="5" t="s">
        <v>9</v>
      </c>
      <c r="J4" s="47" t="s">
        <v>30</v>
      </c>
      <c r="K4" s="17"/>
    </row>
    <row r="5" spans="1:12" ht="30" customHeight="1">
      <c r="A5" s="9"/>
      <c r="C5" s="21">
        <f>IF(DAY(FebSun1)=1,FebSun1-6,FebSun1+1)</f>
        <v>46048</v>
      </c>
      <c r="D5" s="21">
        <f>IF(DAY(FebSun1)=1,FebSun1-5,FebSun1+2)</f>
        <v>46049</v>
      </c>
      <c r="E5" s="21">
        <f>IF(DAY(FebSun1)=1,FebSun1-4,FebSun1+3)</f>
        <v>46050</v>
      </c>
      <c r="F5" s="21">
        <f>IF(DAY(FebSun1)=1,FebSun1-3,FebSun1+4)</f>
        <v>46051</v>
      </c>
      <c r="G5" s="21">
        <f>IF(DAY(FebSun1)=1,FebSun1-2,FebSun1+5)</f>
        <v>46052</v>
      </c>
      <c r="H5" s="21">
        <f>IF(DAY(FebSun1)=1,FebSun1-1,FebSun1+6)</f>
        <v>46053</v>
      </c>
      <c r="I5" s="21">
        <f>IF(DAY(FebSun1)=1,FebSun1,FebSun1+7)</f>
        <v>46054</v>
      </c>
      <c r="J5" s="7"/>
      <c r="K5" s="2"/>
    </row>
    <row r="6" spans="1:12" ht="30" customHeight="1">
      <c r="A6" s="9"/>
      <c r="C6" s="21">
        <f>IF(DAY(FebSun1)=1,FebSun1+1,FebSun1+8)</f>
        <v>46055</v>
      </c>
      <c r="D6" s="21">
        <f>IF(DAY(FebSun1)=1,FebSun1+2,FebSun1+9)</f>
        <v>46056</v>
      </c>
      <c r="E6" s="21">
        <f>IF(DAY(FebSun1)=1,FebSun1+3,FebSun1+10)</f>
        <v>46057</v>
      </c>
      <c r="F6" s="21">
        <f>IF(DAY(FebSun1)=1,FebSun1+4,FebSun1+11)</f>
        <v>46058</v>
      </c>
      <c r="G6" s="21">
        <f>IF(DAY(FebSun1)=1,FebSun1+5,FebSun1+12)</f>
        <v>46059</v>
      </c>
      <c r="H6" s="21">
        <f>IF(DAY(FebSun1)=1,FebSun1+6,FebSun1+13)</f>
        <v>46060</v>
      </c>
      <c r="I6" s="21">
        <f>IF(DAY(FebSun1)=1,FebSun1+7,FebSun1+14)</f>
        <v>46061</v>
      </c>
      <c r="J6" s="7"/>
      <c r="K6" s="2"/>
    </row>
    <row r="7" spans="1:12" ht="30" customHeight="1">
      <c r="A7" s="9"/>
      <c r="C7" s="21">
        <f>IF(DAY(FebSun1)=1,FebSun1+8,FebSun1+15)</f>
        <v>46062</v>
      </c>
      <c r="D7" s="21">
        <f>IF(DAY(FebSun1)=1,FebSun1+9,FebSun1+16)</f>
        <v>46063</v>
      </c>
      <c r="E7" s="21">
        <f>IF(DAY(FebSun1)=1,FebSun1+10,FebSun1+17)</f>
        <v>46064</v>
      </c>
      <c r="F7" s="21">
        <f>IF(DAY(FebSun1)=1,FebSun1+11,FebSun1+18)</f>
        <v>46065</v>
      </c>
      <c r="G7" s="21">
        <f>IF(DAY(FebSun1)=1,FebSun1+12,FebSun1+19)</f>
        <v>46066</v>
      </c>
      <c r="H7" s="21">
        <f>IF(DAY(FebSun1)=1,FebSun1+13,FebSun1+20)</f>
        <v>46067</v>
      </c>
      <c r="I7" s="21">
        <f>IF(DAY(FebSun1)=1,FebSun1+14,FebSun1+21)</f>
        <v>46068</v>
      </c>
      <c r="J7" s="7"/>
      <c r="K7" s="2"/>
    </row>
    <row r="8" spans="1:12" ht="30" customHeight="1">
      <c r="A8" s="9"/>
      <c r="C8" s="21">
        <f>IF(DAY(FebSun1)=1,FebSun1+15,FebSun1+22)</f>
        <v>46069</v>
      </c>
      <c r="D8" s="21">
        <f>IF(DAY(FebSun1)=1,FebSun1+16,FebSun1+23)</f>
        <v>46070</v>
      </c>
      <c r="E8" s="21">
        <f>IF(DAY(FebSun1)=1,FebSun1+17,FebSun1+24)</f>
        <v>46071</v>
      </c>
      <c r="F8" s="21">
        <f>IF(DAY(FebSun1)=1,FebSun1+18,FebSun1+25)</f>
        <v>46072</v>
      </c>
      <c r="G8" s="21">
        <f>IF(DAY(FebSun1)=1,FebSun1+19,FebSun1+26)</f>
        <v>46073</v>
      </c>
      <c r="H8" s="21">
        <f>IF(DAY(FebSun1)=1,FebSun1+20,FebSun1+27)</f>
        <v>46074</v>
      </c>
      <c r="I8" s="21">
        <f>IF(DAY(FebSun1)=1,FebSun1+21,FebSun1+28)</f>
        <v>46075</v>
      </c>
      <c r="J8" s="7"/>
      <c r="K8" s="2"/>
    </row>
    <row r="9" spans="1:12" ht="30" customHeight="1">
      <c r="A9" s="9"/>
      <c r="C9" s="21">
        <f>IF(DAY(FebSun1)=1,FebSun1+22,FebSun1+29)</f>
        <v>46076</v>
      </c>
      <c r="D9" s="21">
        <f>IF(DAY(FebSun1)=1,FebSun1+23,FebSun1+30)</f>
        <v>46077</v>
      </c>
      <c r="E9" s="21">
        <f>IF(DAY(FebSun1)=1,FebSun1+24,FebSun1+31)</f>
        <v>46078</v>
      </c>
      <c r="F9" s="21">
        <f>IF(DAY(FebSun1)=1,FebSun1+25,FebSun1+32)</f>
        <v>46079</v>
      </c>
      <c r="G9" s="21">
        <f>IF(DAY(FebSun1)=1,FebSun1+26,FebSun1+33)</f>
        <v>46080</v>
      </c>
      <c r="H9" s="21">
        <f>IF(DAY(FebSun1)=1,FebSun1+27,FebSun1+34)</f>
        <v>46081</v>
      </c>
      <c r="I9" s="21">
        <f>IF(DAY(FebSun1)=1,FebSun1+28,FebSun1+35)</f>
        <v>46082</v>
      </c>
      <c r="J9" s="16"/>
      <c r="K9" s="14"/>
      <c r="L9" s="12"/>
    </row>
    <row r="10" spans="1:12" ht="30" customHeight="1">
      <c r="A10" s="9"/>
      <c r="B10" s="12"/>
      <c r="C10" s="21">
        <f>IF(DAY(FebSun1)=1,FebSun1+29,FebSun1+36)</f>
        <v>46083</v>
      </c>
      <c r="D10" s="21">
        <f>IF(DAY(FebSun1)=1,FebSun1+30,FebSun1+37)</f>
        <v>46084</v>
      </c>
      <c r="E10" s="21">
        <f>IF(DAY(FebSun1)=1,FebSun1+31,FebSun1+38)</f>
        <v>46085</v>
      </c>
      <c r="F10" s="21">
        <f>IF(DAY(FebSun1)=1,FebSun1+32,FebSun1+39)</f>
        <v>46086</v>
      </c>
      <c r="G10" s="21">
        <f>IF(DAY(FebSun1)=1,FebSun1+33,FebSun1+40)</f>
        <v>46087</v>
      </c>
      <c r="H10" s="21">
        <f>IF(DAY(FebSun1)=1,FebSun1+34,FebSun1+41)</f>
        <v>46088</v>
      </c>
      <c r="I10" s="21">
        <f>IF(DAY(FebSun1)=1,FebSun1+35,FebSun1+42)</f>
        <v>46089</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6"/>
      <c r="K15" s="14"/>
      <c r="L15" s="12"/>
    </row>
    <row r="16" spans="1:12" ht="30" customHeight="1">
      <c r="A16" s="18"/>
      <c r="B16" s="50"/>
      <c r="C16" s="64"/>
      <c r="D16" s="64"/>
      <c r="E16" s="64"/>
      <c r="F16" s="64"/>
      <c r="G16" s="64"/>
      <c r="H16" s="64"/>
      <c r="I16" s="52"/>
      <c r="J16" s="7"/>
      <c r="K16" s="17"/>
    </row>
  </sheetData>
  <sheetProtection algorithmName="SHA-512" hashValue="K7hAV3ufBBM4by4larDBb5L/JQEXSxterFy5vqXLdc7jFRsT4uiKHY/VKbxUnxDhgW2CeQ8G+nvVlLHUs3jB3w==" saltValue="r6HIH2XM8TmzuZwB7nGo9Q==" spinCount="100000" sheet="1" objects="1" scenarios="1"/>
  <mergeCells count="12">
    <mergeCell ref="C13:D13"/>
    <mergeCell ref="E13:F13"/>
    <mergeCell ref="G13:H13"/>
    <mergeCell ref="C14:D14"/>
    <mergeCell ref="E14:F14"/>
    <mergeCell ref="G14:H14"/>
    <mergeCell ref="C15:D15"/>
    <mergeCell ref="E15:F15"/>
    <mergeCell ref="G15:H15"/>
    <mergeCell ref="C16:D16"/>
    <mergeCell ref="E16:F16"/>
    <mergeCell ref="G16:H16"/>
  </mergeCells>
  <conditionalFormatting sqref="B14:I14 B16:I16">
    <cfRule type="expression" dxfId="77" priority="6">
      <formula>B14&lt;&gt;""</formula>
    </cfRule>
  </conditionalFormatting>
  <conditionalFormatting sqref="B14:I16">
    <cfRule type="expression" dxfId="76" priority="1">
      <formula>COLUMN(B14)&gt;2</formula>
    </cfRule>
  </conditionalFormatting>
  <conditionalFormatting sqref="B15:I15">
    <cfRule type="expression" dxfId="75" priority="4">
      <formula>COLUMN(B14)&gt;=2</formula>
    </cfRule>
    <cfRule type="expression" dxfId="74" priority="7">
      <formula>B15&lt;&gt;""</formula>
    </cfRule>
  </conditionalFormatting>
  <conditionalFormatting sqref="C5:H5">
    <cfRule type="expression" dxfId="73" priority="9" stopIfTrue="1">
      <formula>DAY(C5)&gt;8</formula>
    </cfRule>
  </conditionalFormatting>
  <conditionalFormatting sqref="C5:I10">
    <cfRule type="expression" dxfId="72" priority="10">
      <formula>VLOOKUP(DAY(C5),AssignmentDays,1,FALSE)=DAY(C5)</formula>
    </cfRule>
  </conditionalFormatting>
  <conditionalFormatting sqref="C9:I10">
    <cfRule type="expression" dxfId="71" priority="8" stopIfTrue="1">
      <formula>AND(DAY(C9)&gt;=1,DAY(C9)&lt;=15)</formula>
    </cfRule>
  </conditionalFormatting>
  <dataValidations xWindow="95" yWindow="532" count="16">
    <dataValidation allowBlank="1" showInputMessage="1" showErrorMessage="1" prompt="El calendario de febrero resalta automáticamente las entradas de la lista de tareas para el mes. Las fuentes más oscuras indican tareas. Las fuentes más claras indican días que pertenecen al mes anterior o al mes siguiente" sqref="B4" xr:uid="{00000000-0002-0000-0100-000000000000}"/>
    <dataValidation allowBlank="1" showInputMessage="1" showErrorMessage="1" prompt="Se actualiza automáticamente el año natural. Para cambiar el año, actualice la celda B1 en la hoja de cálculo ene" sqref="B3" xr:uid="{00000000-0002-0000-0100-000001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100-000002000000}"/>
    <dataValidation allowBlank="1" showInputMessage="1" showErrorMessage="1" prompt="Las celdas C2 a I2 contienen días de la semana." sqref="C4" xr:uid="{00000000-0002-0000-0100-000003000000}"/>
    <dataValidation allowBlank="1" showInputMessage="1" showErrorMessage="1" prompt="Si esta celda no contiene el número 1, se trata de un día de del mes anterior. Las celdas C3 a I8 contienen fechas para el mes actual" sqref="C5" xr:uid="{00000000-0002-0000-0100-000004000000}"/>
    <dataValidation allowBlank="1" showInputMessage="1" showErrorMessage="1" prompt="Si esta fila contiene un número menor que el número o la fila de números anterior, en ese caso, esta fila contiene fechas para el próximo mes del calendario." sqref="C10" xr:uid="{00000000-0002-0000-0100-000005000000}"/>
    <dataValidation allowBlank="1" showInputMessage="1" showErrorMessage="1" prompt="Escriba la hora en esta fila, de la columna B a la I" sqref="B14" xr:uid="{00000000-0002-0000-0100-000006000000}"/>
    <dataValidation allowBlank="1" showInputMessage="1" showErrorMessage="1" prompt="Escriba la clase en esta fila, de la columna B a la I." sqref="B15" xr:uid="{00000000-0002-0000-01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100-000008000000}"/>
    <dataValidation allowBlank="1" showInputMessage="1" showErrorMessage="1" prompt="Escriba en esta columna los detalles de la tarea correspondientes al día de la semana en la columna J y al día en la columna K del mes calendario de la izquierda." sqref="L3" xr:uid="{00000000-0002-0000-01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100-00000A000000}"/>
    <dataValidation allowBlank="1" showInputMessage="1" showErrorMessage="1" prompt="Los días de la semana se encuentran en esta fila, del lunes al viernes." sqref="B13" xr:uid="{00000000-0002-0000-01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100-00000C000000}"/>
    <dataValidation allowBlank="1" showInputMessage="1" showErrorMessage="1" prompt="El día de la semana va en esta fila, empezando en la celda B11" sqref="A13" xr:uid="{D1B06E8E-5518-4308-91F3-B6F5FEF7E4AE}"/>
    <dataValidation allowBlank="1" showInputMessage="1" showErrorMessage="1" prompt="El nombre de la clase va en esta fila, empezando en la celda a la derecha" sqref="A15" xr:uid="{A2170E93-6C97-429A-B735-96B7768EECBE}"/>
    <dataValidation allowBlank="1" showInputMessage="1" showErrorMessage="1" prompt="El tiempo de clase va en esta fila, empezando en la celda hasta la derecha_x000a_" sqref="A14 A16" xr:uid="{2B888A25-4427-4DF5-8410-E1EDB5B9BD87}"/>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4.8984375" customWidth="1"/>
    <col min="13" max="13" width="2.59765625" customWidth="1"/>
  </cols>
  <sheetData>
    <row r="3" spans="1:12" ht="30" customHeight="1">
      <c r="B3" s="8">
        <f>AñoCalendario</f>
        <v>2026</v>
      </c>
      <c r="J3" s="15" t="s">
        <v>0</v>
      </c>
      <c r="K3" s="15" t="s">
        <v>1</v>
      </c>
      <c r="L3" s="25" t="s">
        <v>21</v>
      </c>
    </row>
    <row r="4" spans="1:12" ht="30" customHeight="1">
      <c r="A4" s="9"/>
      <c r="B4" s="28" t="s">
        <v>11</v>
      </c>
      <c r="C4" s="5" t="s">
        <v>3</v>
      </c>
      <c r="D4" s="5" t="s">
        <v>4</v>
      </c>
      <c r="E4" s="5" t="s">
        <v>5</v>
      </c>
      <c r="F4" s="5" t="s">
        <v>6</v>
      </c>
      <c r="G4" s="5" t="s">
        <v>7</v>
      </c>
      <c r="H4" s="5" t="s">
        <v>8</v>
      </c>
      <c r="I4" s="5" t="s">
        <v>9</v>
      </c>
      <c r="J4" s="47" t="s">
        <v>30</v>
      </c>
      <c r="K4" s="45">
        <v>31</v>
      </c>
      <c r="L4" s="32" t="s">
        <v>24</v>
      </c>
    </row>
    <row r="5" spans="1:12" ht="30" customHeight="1">
      <c r="A5" s="9"/>
      <c r="C5" s="21">
        <f>IF(DAY(MarSun1)=1,MarSun1-6,MarSun1+1)</f>
        <v>46076</v>
      </c>
      <c r="D5" s="21">
        <f>IF(DAY(MarSun1)=1,MarSun1-5,MarSun1+2)</f>
        <v>46077</v>
      </c>
      <c r="E5" s="21">
        <f>IF(DAY(MarSun1)=1,MarSun1-4,MarSun1+3)</f>
        <v>46078</v>
      </c>
      <c r="F5" s="21">
        <f>IF(DAY(MarSun1)=1,MarSun1-3,MarSun1+4)</f>
        <v>46079</v>
      </c>
      <c r="G5" s="21">
        <f>IF(DAY(MarSun1)=1,MarSun1-2,MarSun1+5)</f>
        <v>46080</v>
      </c>
      <c r="H5" s="21">
        <f>IF(DAY(MarSun1)=1,MarSun1-1,MarSun1+6)</f>
        <v>46081</v>
      </c>
      <c r="I5" s="21">
        <f>IF(DAY(MarSun1)=1,MarSun1,MarSun1+7)</f>
        <v>46082</v>
      </c>
      <c r="J5" s="7"/>
      <c r="K5" s="2"/>
    </row>
    <row r="6" spans="1:12" ht="30" customHeight="1">
      <c r="A6" s="9"/>
      <c r="C6" s="21">
        <f>IF(DAY(MarSun1)=1,MarSun1+1,MarSun1+8)</f>
        <v>46083</v>
      </c>
      <c r="D6" s="21">
        <f>IF(DAY(MarSun1)=1,MarSun1+2,MarSun1+9)</f>
        <v>46084</v>
      </c>
      <c r="E6" s="21">
        <f>IF(DAY(MarSun1)=1,MarSun1+3,MarSun1+10)</f>
        <v>46085</v>
      </c>
      <c r="F6" s="21">
        <f>IF(DAY(MarSun1)=1,MarSun1+4,MarSun1+11)</f>
        <v>46086</v>
      </c>
      <c r="G6" s="21">
        <f>IF(DAY(MarSun1)=1,MarSun1+5,MarSun1+12)</f>
        <v>46087</v>
      </c>
      <c r="H6" s="21">
        <f>IF(DAY(MarSun1)=1,MarSun1+6,MarSun1+13)</f>
        <v>46088</v>
      </c>
      <c r="I6" s="21">
        <f>IF(DAY(MarSun1)=1,MarSun1+7,MarSun1+14)</f>
        <v>46089</v>
      </c>
      <c r="J6" s="7"/>
      <c r="K6" s="2"/>
    </row>
    <row r="7" spans="1:12" ht="30" customHeight="1">
      <c r="A7" s="9"/>
      <c r="C7" s="21">
        <f>IF(DAY(MarSun1)=1,MarSun1+8,MarSun1+15)</f>
        <v>46090</v>
      </c>
      <c r="D7" s="21">
        <f>IF(DAY(MarSun1)=1,MarSun1+9,MarSun1+16)</f>
        <v>46091</v>
      </c>
      <c r="E7" s="21">
        <f>IF(DAY(MarSun1)=1,MarSun1+10,MarSun1+17)</f>
        <v>46092</v>
      </c>
      <c r="F7" s="21">
        <f>IF(DAY(MarSun1)=1,MarSun1+11,MarSun1+18)</f>
        <v>46093</v>
      </c>
      <c r="G7" s="21">
        <f>IF(DAY(MarSun1)=1,MarSun1+12,MarSun1+19)</f>
        <v>46094</v>
      </c>
      <c r="H7" s="21">
        <f>IF(DAY(MarSun1)=1,MarSun1+13,MarSun1+20)</f>
        <v>46095</v>
      </c>
      <c r="I7" s="21">
        <f>IF(DAY(MarSun1)=1,MarSun1+14,MarSun1+21)</f>
        <v>46096</v>
      </c>
      <c r="J7" s="7"/>
      <c r="K7" s="2"/>
    </row>
    <row r="8" spans="1:12" ht="30" customHeight="1">
      <c r="A8" s="9"/>
      <c r="C8" s="21">
        <f>IF(DAY(MarSun1)=1,MarSun1+15,MarSun1+22)</f>
        <v>46097</v>
      </c>
      <c r="D8" s="21">
        <f>IF(DAY(MarSun1)=1,MarSun1+16,MarSun1+23)</f>
        <v>46098</v>
      </c>
      <c r="E8" s="21">
        <f>IF(DAY(MarSun1)=1,MarSun1+17,MarSun1+24)</f>
        <v>46099</v>
      </c>
      <c r="F8" s="21">
        <f>IF(DAY(MarSun1)=1,MarSun1+18,MarSun1+25)</f>
        <v>46100</v>
      </c>
      <c r="G8" s="21">
        <f>IF(DAY(MarSun1)=1,MarSun1+19,MarSun1+26)</f>
        <v>46101</v>
      </c>
      <c r="H8" s="21">
        <f>IF(DAY(MarSun1)=1,MarSun1+20,MarSun1+27)</f>
        <v>46102</v>
      </c>
      <c r="I8" s="21">
        <f>IF(DAY(MarSun1)=1,MarSun1+21,MarSun1+28)</f>
        <v>46103</v>
      </c>
      <c r="J8" s="7"/>
      <c r="K8" s="2"/>
    </row>
    <row r="9" spans="1:12" ht="30" customHeight="1">
      <c r="A9" s="9"/>
      <c r="C9" s="21">
        <f>IF(DAY(MarSun1)=1,MarSun1+22,MarSun1+29)</f>
        <v>46104</v>
      </c>
      <c r="D9" s="21">
        <f>IF(DAY(MarSun1)=1,MarSun1+23,MarSun1+30)</f>
        <v>46105</v>
      </c>
      <c r="E9" s="21">
        <f>IF(DAY(MarSun1)=1,MarSun1+24,MarSun1+31)</f>
        <v>46106</v>
      </c>
      <c r="F9" s="21">
        <f>IF(DAY(MarSun1)=1,MarSun1+25,MarSun1+32)</f>
        <v>46107</v>
      </c>
      <c r="G9" s="21">
        <f>IF(DAY(MarSun1)=1,MarSun1+26,MarSun1+33)</f>
        <v>46108</v>
      </c>
      <c r="H9" s="21">
        <f>IF(DAY(MarSun1)=1,MarSun1+27,MarSun1+34)</f>
        <v>46109</v>
      </c>
      <c r="I9" s="21">
        <f>IF(DAY(MarSun1)=1,MarSun1+28,MarSun1+35)</f>
        <v>46110</v>
      </c>
      <c r="J9" s="1"/>
      <c r="K9" s="14"/>
    </row>
    <row r="10" spans="1:12" ht="30" customHeight="1">
      <c r="A10" s="9"/>
      <c r="B10" s="12"/>
      <c r="C10" s="21">
        <f>IF(DAY(MarSun1)=1,MarSun1+29,MarSun1+36)</f>
        <v>46111</v>
      </c>
      <c r="D10" s="21">
        <f>IF(DAY(MarSun1)=1,MarSun1+30,MarSun1+37)</f>
        <v>46112</v>
      </c>
      <c r="E10" s="21">
        <f>IF(DAY(MarSun1)=1,MarSun1+31,MarSun1+38)</f>
        <v>46113</v>
      </c>
      <c r="F10" s="21">
        <f>IF(DAY(MarSun1)=1,MarSun1+32,MarSun1+39)</f>
        <v>46114</v>
      </c>
      <c r="G10" s="21">
        <f>IF(DAY(MarSun1)=1,MarSun1+33,MarSun1+40)</f>
        <v>46115</v>
      </c>
      <c r="H10" s="21">
        <f>IF(DAY(MarSun1)=1,MarSun1+34,MarSun1+41)</f>
        <v>46116</v>
      </c>
      <c r="I10" s="21">
        <f>IF(DAY(MarSun1)=1,MarSun1+35,MarSun1+42)</f>
        <v>46117</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
      <c r="K15" s="14"/>
      <c r="L15" s="13"/>
    </row>
    <row r="16" spans="1:12" ht="30" customHeight="1">
      <c r="A16" s="18"/>
      <c r="B16" s="50"/>
      <c r="C16" s="61"/>
      <c r="D16" s="61"/>
      <c r="E16" s="61"/>
      <c r="F16" s="61"/>
      <c r="G16" s="61"/>
      <c r="H16" s="61"/>
      <c r="I16" s="52"/>
      <c r="J16" s="7"/>
      <c r="K16" s="17"/>
    </row>
  </sheetData>
  <sheetProtection algorithmName="SHA-512" hashValue="5B4Cc7FPsPScUvB7n1lIsgW7kkcXVTaxxSHGWGiyT0KYDBsT0YwQe0rV3xf+QSWC3LyJaa9bemaJhyAA7m+/1Q==" saltValue="OvJPXzV2zcLG6AIFK4Ep6A=="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70" priority="3">
      <formula>B14&lt;&gt;""</formula>
    </cfRule>
  </conditionalFormatting>
  <conditionalFormatting sqref="B14:I16">
    <cfRule type="expression" dxfId="69" priority="1">
      <formula>COLUMN(B14)&gt;2</formula>
    </cfRule>
  </conditionalFormatting>
  <conditionalFormatting sqref="B15:I15">
    <cfRule type="expression" dxfId="68" priority="2">
      <formula>COLUMN(B14)&gt;=2</formula>
    </cfRule>
    <cfRule type="expression" dxfId="67" priority="4">
      <formula>B15&lt;&gt;""</formula>
    </cfRule>
  </conditionalFormatting>
  <conditionalFormatting sqref="C5:H5">
    <cfRule type="expression" dxfId="66" priority="6" stopIfTrue="1">
      <formula>DAY(C5)&gt;8</formula>
    </cfRule>
  </conditionalFormatting>
  <conditionalFormatting sqref="C5:I10">
    <cfRule type="expression" dxfId="65" priority="7">
      <formula>VLOOKUP(DAY(C5),AssignmentDays,1,FALSE)=DAY(C5)</formula>
    </cfRule>
  </conditionalFormatting>
  <conditionalFormatting sqref="C9:I10">
    <cfRule type="expression" dxfId="64" priority="5" stopIfTrue="1">
      <formula>AND(DAY(C9)&gt;=1,DAY(C9)&lt;=15)</formula>
    </cfRule>
  </conditionalFormatting>
  <dataValidations count="16">
    <dataValidation allowBlank="1" showInputMessage="1" showErrorMessage="1" prompt="Escriba la clase en esta fila, de la columna B a la I." sqref="B15" xr:uid="{00000000-0002-0000-0200-000000000000}"/>
    <dataValidation allowBlank="1" showInputMessage="1" showErrorMessage="1" prompt="Escriba la hora en esta fila, de la columna B a la I" sqref="B14" xr:uid="{00000000-0002-0000-0200-000001000000}"/>
    <dataValidation allowBlank="1" showInputMessage="1" showErrorMessage="1" prompt="Si esta fila contiene un número menor que el número o la fila de números anterior, en ese caso, esta fila contiene fechas para el próximo mes del calendario." sqref="C10" xr:uid="{00000000-0002-0000-0200-000002000000}"/>
    <dataValidation allowBlank="1" showInputMessage="1" showErrorMessage="1" prompt="Si esta celda no contiene el número 1, se trata de un día de del mes anterior. Las celdas C3 a I8 contienen fechas para el mes actual" sqref="C5" xr:uid="{00000000-0002-0000-0200-000003000000}"/>
    <dataValidation allowBlank="1" showInputMessage="1" showErrorMessage="1" prompt="Las celdas C2 a I2 contienen días de la semana." sqref="C4" xr:uid="{00000000-0002-0000-0200-000004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200-000005000000}"/>
    <dataValidation allowBlank="1" showInputMessage="1" showErrorMessage="1" prompt="Se actualiza automáticamente el año natural. Para cambiar el año, actualice la celda B1 en la hoja de cálculo ene" sqref="B3" xr:uid="{00000000-0002-0000-0200-000006000000}"/>
    <dataValidation allowBlank="1" showInputMessage="1" showErrorMessage="1" prompt="El calendario de marzo resalta automáticamente las entradas de la lista de tareas para el mes. Las fuentes más oscuras indican tareas. Las fuentes más claras indican días que pertenecen al mes anterior o al mes siguiente" sqref="B4" xr:uid="{00000000-0002-0000-02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200-000008000000}"/>
    <dataValidation allowBlank="1" showInputMessage="1" showErrorMessage="1" prompt="Escriba en esta columna los detalles de la tarea correspondientes al día de la semana en la columna J y al día en la columna K del mes calendario de la izquierda." sqref="L3" xr:uid="{00000000-0002-0000-02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200-00000A000000}"/>
    <dataValidation allowBlank="1" showInputMessage="1" showErrorMessage="1" prompt="Los días de la semana se encuentran en esta fila, del lunes al viernes." sqref="B13" xr:uid="{00000000-0002-0000-02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200-00000C000000}"/>
    <dataValidation allowBlank="1" showInputMessage="1" showErrorMessage="1" prompt="El nombre de la clase va en esta fila, empezando en la celda a la derecha" sqref="A15" xr:uid="{C89B7E00-6B3A-49AF-A2FC-B833F6F34BE1}"/>
    <dataValidation allowBlank="1" showInputMessage="1" showErrorMessage="1" prompt="El tiempo de clase va en esta fila, empezando en la celda hasta la derecha_x000a_" sqref="A14 A16" xr:uid="{340B3B59-18A0-4FFC-8897-5A3146BDE56E}"/>
    <dataValidation allowBlank="1" showInputMessage="1" showErrorMessage="1" prompt="El día de la semana va en esta fila, empezando en la celda B11" sqref="A13" xr:uid="{ABA210C2-D27D-4031-A5A1-1DBDF0341DEF}"/>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0" width="10.59765625" style="7" customWidth="1"/>
    <col min="11"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9" t="s">
        <v>12</v>
      </c>
      <c r="C4" s="5" t="s">
        <v>3</v>
      </c>
      <c r="D4" s="5" t="s">
        <v>4</v>
      </c>
      <c r="E4" s="5" t="s">
        <v>5</v>
      </c>
      <c r="F4" s="5" t="s">
        <v>6</v>
      </c>
      <c r="G4" s="5" t="s">
        <v>7</v>
      </c>
      <c r="H4" s="5" t="s">
        <v>8</v>
      </c>
      <c r="I4" s="5" t="s">
        <v>9</v>
      </c>
      <c r="J4" s="47" t="s">
        <v>30</v>
      </c>
      <c r="K4" s="45">
        <v>30</v>
      </c>
      <c r="L4" s="44" t="s">
        <v>25</v>
      </c>
    </row>
    <row r="5" spans="1:12" ht="30" customHeight="1">
      <c r="A5" s="9"/>
      <c r="C5" s="21">
        <f>IF(DAY(AbrDom1)=1,AbrDom1-6,AbrDom1+1)</f>
        <v>46111</v>
      </c>
      <c r="D5" s="21">
        <f>IF(DAY(AbrDom1)=1,AbrDom1-5,AbrDom1+2)</f>
        <v>46112</v>
      </c>
      <c r="E5" s="21">
        <f>IF(DAY(AbrDom1)=1,AbrDom1-4,AbrDom1+3)</f>
        <v>46113</v>
      </c>
      <c r="F5" s="21">
        <f>IF(DAY(AbrDom1)=1,AbrDom1-3,AbrDom1+4)</f>
        <v>46114</v>
      </c>
      <c r="G5" s="21">
        <f>IF(DAY(AbrDom1)=1,AbrDom1-2,AbrDom1+5)</f>
        <v>46115</v>
      </c>
      <c r="H5" s="21">
        <f>IF(DAY(AbrDom1)=1,AbrDom1-1,AbrDom1+6)</f>
        <v>46116</v>
      </c>
      <c r="I5" s="21">
        <f>IF(DAY(AbrDom1)=1,AbrDom1,AbrDom1+7)</f>
        <v>46117</v>
      </c>
      <c r="K5" s="2"/>
    </row>
    <row r="6" spans="1:12" ht="30" customHeight="1">
      <c r="A6" s="9"/>
      <c r="C6" s="21">
        <f>IF(DAY(AbrDom1)=1,AbrDom1+1,AbrDom1+8)</f>
        <v>46118</v>
      </c>
      <c r="D6" s="21">
        <f>IF(DAY(AbrDom1)=1,AbrDom1+2,AbrDom1+9)</f>
        <v>46119</v>
      </c>
      <c r="E6" s="21">
        <f>IF(DAY(AbrDom1)=1,AbrDom1+3,AbrDom1+10)</f>
        <v>46120</v>
      </c>
      <c r="F6" s="21">
        <f>IF(DAY(AbrDom1)=1,AbrDom1+4,AbrDom1+11)</f>
        <v>46121</v>
      </c>
      <c r="G6" s="21">
        <f>IF(DAY(AbrDom1)=1,AbrDom1+5,AbrDom1+12)</f>
        <v>46122</v>
      </c>
      <c r="H6" s="21">
        <f>IF(DAY(AbrDom1)=1,AbrDom1+6,AbrDom1+13)</f>
        <v>46123</v>
      </c>
      <c r="I6" s="21">
        <f>IF(DAY(AbrDom1)=1,AbrDom1+7,AbrDom1+14)</f>
        <v>46124</v>
      </c>
      <c r="K6" s="2"/>
    </row>
    <row r="7" spans="1:12" ht="30" customHeight="1">
      <c r="A7" s="9"/>
      <c r="C7" s="21">
        <f>IF(DAY(AbrDom1)=1,AbrDom1+8,AbrDom1+15)</f>
        <v>46125</v>
      </c>
      <c r="D7" s="21">
        <f>IF(DAY(AbrDom1)=1,AbrDom1+9,AbrDom1+16)</f>
        <v>46126</v>
      </c>
      <c r="E7" s="21">
        <f>IF(DAY(AbrDom1)=1,AbrDom1+10,AbrDom1+17)</f>
        <v>46127</v>
      </c>
      <c r="F7" s="21">
        <f>IF(DAY(AbrDom1)=1,AbrDom1+11,AbrDom1+18)</f>
        <v>46128</v>
      </c>
      <c r="G7" s="21">
        <f>IF(DAY(AbrDom1)=1,AbrDom1+12,AbrDom1+19)</f>
        <v>46129</v>
      </c>
      <c r="H7" s="21">
        <f>IF(DAY(AbrDom1)=1,AbrDom1+13,AbrDom1+20)</f>
        <v>46130</v>
      </c>
      <c r="I7" s="21">
        <f>IF(DAY(AbrDom1)=1,AbrDom1+14,AbrDom1+21)</f>
        <v>46131</v>
      </c>
      <c r="K7" s="2"/>
    </row>
    <row r="8" spans="1:12" ht="30" customHeight="1">
      <c r="A8" s="9"/>
      <c r="C8" s="21">
        <f>IF(DAY(AbrDom1)=1,AbrDom1+15,AbrDom1+22)</f>
        <v>46132</v>
      </c>
      <c r="D8" s="21">
        <f>IF(DAY(AbrDom1)=1,AbrDom1+16,AbrDom1+23)</f>
        <v>46133</v>
      </c>
      <c r="E8" s="21">
        <f>IF(DAY(AbrDom1)=1,AbrDom1+17,AbrDom1+24)</f>
        <v>46134</v>
      </c>
      <c r="F8" s="21">
        <f>IF(DAY(AbrDom1)=1,AbrDom1+18,AbrDom1+25)</f>
        <v>46135</v>
      </c>
      <c r="G8" s="21">
        <f>IF(DAY(AbrDom1)=1,AbrDom1+19,AbrDom1+26)</f>
        <v>46136</v>
      </c>
      <c r="H8" s="21">
        <f>IF(DAY(AbrDom1)=1,AbrDom1+20,AbrDom1+27)</f>
        <v>46137</v>
      </c>
      <c r="I8" s="21">
        <f>IF(DAY(AbrDom1)=1,AbrDom1+21,AbrDom1+28)</f>
        <v>46138</v>
      </c>
      <c r="K8" s="2"/>
    </row>
    <row r="9" spans="1:12" ht="30" customHeight="1">
      <c r="A9" s="9"/>
      <c r="C9" s="21">
        <f>IF(DAY(AbrDom1)=1,AbrDom1+22,AbrDom1+29)</f>
        <v>46139</v>
      </c>
      <c r="D9" s="21">
        <f>IF(DAY(AbrDom1)=1,AbrDom1+23,AbrDom1+30)</f>
        <v>46140</v>
      </c>
      <c r="E9" s="21">
        <f>IF(DAY(AbrDom1)=1,AbrDom1+24,AbrDom1+31)</f>
        <v>46141</v>
      </c>
      <c r="F9" s="21">
        <f>IF(DAY(AbrDom1)=1,AbrDom1+25,AbrDom1+32)</f>
        <v>46142</v>
      </c>
      <c r="G9" s="21">
        <f>IF(DAY(AbrDom1)=1,AbrDom1+26,AbrDom1+33)</f>
        <v>46143</v>
      </c>
      <c r="H9" s="21">
        <f>IF(DAY(AbrDom1)=1,AbrDom1+27,AbrDom1+34)</f>
        <v>46144</v>
      </c>
      <c r="I9" s="21">
        <f>IF(DAY(AbrDom1)=1,AbrDom1+28,AbrDom1+35)</f>
        <v>46145</v>
      </c>
      <c r="J9" s="1"/>
      <c r="K9" s="14"/>
    </row>
    <row r="10" spans="1:12" ht="30" customHeight="1">
      <c r="A10" s="9"/>
      <c r="B10" s="12"/>
      <c r="C10" s="21">
        <f>IF(DAY(AbrDom1)=1,AbrDom1+29,AbrDom1+36)</f>
        <v>46146</v>
      </c>
      <c r="D10" s="21">
        <f>IF(DAY(AbrDom1)=1,AbrDom1+30,AbrDom1+37)</f>
        <v>46147</v>
      </c>
      <c r="E10" s="21">
        <f>IF(DAY(AbrDom1)=1,AbrDom1+31,AbrDom1+38)</f>
        <v>46148</v>
      </c>
      <c r="F10" s="21">
        <f>IF(DAY(AbrDom1)=1,AbrDom1+32,AbrDom1+39)</f>
        <v>46149</v>
      </c>
      <c r="G10" s="21">
        <f>IF(DAY(AbrDom1)=1,AbrDom1+33,AbrDom1+40)</f>
        <v>46150</v>
      </c>
      <c r="H10" s="21">
        <f>IF(DAY(AbrDom1)=1,AbrDom1+34,AbrDom1+41)</f>
        <v>46151</v>
      </c>
      <c r="I10" s="21">
        <f>IF(DAY(AbrDom1)=1,AbrDom1+35,AbrDom1+42)</f>
        <v>46152</v>
      </c>
      <c r="K10" s="17"/>
    </row>
    <row r="11" spans="1:12" ht="30" customHeight="1">
      <c r="A11" s="9"/>
      <c r="C11" s="3"/>
      <c r="D11" s="3"/>
      <c r="E11" s="3"/>
      <c r="F11" s="3"/>
      <c r="G11" s="3"/>
      <c r="H11" s="3"/>
      <c r="I11" s="3"/>
      <c r="K11" s="2"/>
    </row>
    <row r="12" spans="1:12" ht="30" customHeight="1">
      <c r="A12" s="9"/>
      <c r="B12" s="11"/>
      <c r="C12" s="6"/>
      <c r="D12" s="6"/>
      <c r="E12" s="6"/>
      <c r="F12" s="6"/>
      <c r="G12" s="6"/>
      <c r="H12" s="6"/>
      <c r="I12" s="6"/>
      <c r="K12" s="2"/>
    </row>
    <row r="13" spans="1:12" ht="30" customHeight="1">
      <c r="A13" s="18"/>
      <c r="B13" s="39"/>
      <c r="C13" s="56"/>
      <c r="D13" s="56"/>
      <c r="E13" s="56"/>
      <c r="F13" s="56"/>
      <c r="G13" s="56"/>
      <c r="H13" s="56"/>
      <c r="I13" s="38"/>
      <c r="K13" s="2"/>
    </row>
    <row r="14" spans="1:12" ht="30" customHeight="1">
      <c r="A14" s="18"/>
      <c r="B14" s="41"/>
      <c r="C14" s="65"/>
      <c r="D14" s="66"/>
      <c r="E14" s="65"/>
      <c r="F14" s="66"/>
      <c r="G14" s="65"/>
      <c r="H14" s="66"/>
      <c r="I14" s="42"/>
      <c r="K14" s="2"/>
    </row>
    <row r="15" spans="1:12" ht="30" customHeight="1">
      <c r="A15" s="18"/>
      <c r="B15" s="43"/>
      <c r="C15" s="67"/>
      <c r="D15" s="67"/>
      <c r="E15" s="67"/>
      <c r="F15" s="67"/>
      <c r="G15" s="67"/>
      <c r="H15" s="67"/>
      <c r="I15" s="43"/>
      <c r="J15" s="1"/>
      <c r="K15" s="14"/>
      <c r="L15" s="13"/>
    </row>
    <row r="16" spans="1:12" ht="30" customHeight="1">
      <c r="A16" s="18"/>
      <c r="B16" s="53"/>
      <c r="C16" s="68"/>
      <c r="D16" s="69"/>
      <c r="E16" s="68"/>
      <c r="F16" s="69"/>
      <c r="G16" s="68"/>
      <c r="H16" s="69"/>
      <c r="I16" s="54"/>
      <c r="K16" s="17"/>
    </row>
  </sheetData>
  <sheetProtection algorithmName="SHA-512" hashValue="QRLLLhPxE4GVj2F4L5kav+P4r/qPi+Ohn3zt9VALEBhl3IdHVsTsLUDsAlbmm3VVZS1VqRMMjox6tyjImb/gNg==" saltValue="Xb/Saigo9R3HoYso1VXe7A=="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63" priority="3">
      <formula>B14&lt;&gt;""</formula>
    </cfRule>
  </conditionalFormatting>
  <conditionalFormatting sqref="B14:I16">
    <cfRule type="expression" dxfId="62" priority="1">
      <formula>COLUMN(B14)&gt;2</formula>
    </cfRule>
  </conditionalFormatting>
  <conditionalFormatting sqref="B15:I15">
    <cfRule type="expression" dxfId="61" priority="2">
      <formula>COLUMN(B14)&gt;=2</formula>
    </cfRule>
    <cfRule type="expression" dxfId="60" priority="4">
      <formula>B15&lt;&gt;""</formula>
    </cfRule>
  </conditionalFormatting>
  <conditionalFormatting sqref="C5:H5">
    <cfRule type="expression" dxfId="59" priority="6" stopIfTrue="1">
      <formula>DAY(C5)&gt;8</formula>
    </cfRule>
  </conditionalFormatting>
  <conditionalFormatting sqref="C5:I10">
    <cfRule type="expression" dxfId="58" priority="7">
      <formula>VLOOKUP(DAY(C5),AssignmentDays,1,FALSE)=DAY(C5)</formula>
    </cfRule>
  </conditionalFormatting>
  <conditionalFormatting sqref="C9:I10">
    <cfRule type="expression" dxfId="57" priority="5" stopIfTrue="1">
      <formula>AND(DAY(C9)&gt;=1,DAY(C9)&lt;=15)</formula>
    </cfRule>
  </conditionalFormatting>
  <dataValidations xWindow="209" yWindow="929" count="16">
    <dataValidation allowBlank="1" showInputMessage="1" showErrorMessage="1" prompt="El calendario de abril resalta automáticamente las entradas de la lista de tareas para el mes. Las fuentes más oscuras indican tareas. Las fuentes más claras indican días que pertenecen al mes anterior o al mes siguiente" sqref="B4" xr:uid="{00000000-0002-0000-0300-000000000000}"/>
    <dataValidation allowBlank="1" showInputMessage="1" showErrorMessage="1" prompt="Se actualiza automáticamente el año natural. Para cambiar el año, actualice la celda B1 en la hoja de cálculo ene" sqref="B3" xr:uid="{00000000-0002-0000-0300-000001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300-000002000000}"/>
    <dataValidation allowBlank="1" showInputMessage="1" showErrorMessage="1" prompt="Las celdas C2 a I2 contienen días de la semana." sqref="C4" xr:uid="{00000000-0002-0000-0300-000003000000}"/>
    <dataValidation allowBlank="1" showInputMessage="1" showErrorMessage="1" prompt="Si esta celda no contiene el número 1, se trata de un día de del mes anterior. Las celdas C3 a I8 contienen fechas para el mes actual" sqref="C5" xr:uid="{00000000-0002-0000-0300-000004000000}"/>
    <dataValidation allowBlank="1" showInputMessage="1" showErrorMessage="1" prompt="Si esta fila contiene un número menor que el número o la fila de números anterior, en ese caso, esta fila contiene fechas para el próximo mes del calendario." sqref="C10" xr:uid="{00000000-0002-0000-0300-000005000000}"/>
    <dataValidation allowBlank="1" showInputMessage="1" showErrorMessage="1" prompt="Escriba la hora en esta fila, de la columna B a la I" sqref="B14" xr:uid="{00000000-0002-0000-0300-000006000000}"/>
    <dataValidation allowBlank="1" showInputMessage="1" showErrorMessage="1" prompt="Escriba la clase en esta fila, de la columna B a la I." sqref="B15" xr:uid="{00000000-0002-0000-03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300-000008000000}"/>
    <dataValidation allowBlank="1" showInputMessage="1" showErrorMessage="1" prompt="Escriba en esta columna los detalles de la tarea correspondientes al día de la semana en la columna J y al día en la columna K del mes calendario de la izquierda." sqref="L3" xr:uid="{00000000-0002-0000-03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300-00000A000000}"/>
    <dataValidation allowBlank="1" showInputMessage="1" showErrorMessage="1" prompt="Los días de la semana se encuentran en esta fila, del lunes al viernes." sqref="B13" xr:uid="{00000000-0002-0000-03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300-00000C000000}"/>
    <dataValidation allowBlank="1" showInputMessage="1" showErrorMessage="1" prompt="El nombre de la clase va en esta fila, empezando en la celda a la derecha" sqref="A15" xr:uid="{4B0B6FA6-A020-4BDF-9B1C-0041ED943239}"/>
    <dataValidation allowBlank="1" showInputMessage="1" showErrorMessage="1" prompt="El tiempo de clase va en esta fila, empezando en la celda hasta la derecha_x000a_" sqref="A14 A16" xr:uid="{2F08939B-E9DB-4A03-9303-DC2BFEB4B0CC}"/>
    <dataValidation allowBlank="1" showInputMessage="1" showErrorMessage="1" prompt="El día de la semana va en esta fila, empezando en la celda B11" sqref="A13" xr:uid="{2540073C-8A61-49E1-B5A1-B606D512E8D8}"/>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9" t="s">
        <v>13</v>
      </c>
      <c r="C4" s="5" t="s">
        <v>3</v>
      </c>
      <c r="D4" s="5" t="s">
        <v>4</v>
      </c>
      <c r="E4" s="5" t="s">
        <v>5</v>
      </c>
      <c r="F4" s="5" t="s">
        <v>6</v>
      </c>
      <c r="G4" s="5" t="s">
        <v>7</v>
      </c>
      <c r="H4" s="5" t="s">
        <v>8</v>
      </c>
      <c r="I4" s="5" t="s">
        <v>9</v>
      </c>
      <c r="J4" s="47" t="s">
        <v>30</v>
      </c>
      <c r="K4" s="45">
        <v>30</v>
      </c>
      <c r="L4" s="44" t="s">
        <v>26</v>
      </c>
    </row>
    <row r="5" spans="1:12" ht="30" customHeight="1">
      <c r="A5" s="9"/>
      <c r="C5" s="21">
        <f>IF(DAY(MaySun1)=1,MaySun1-6,MaySun1+1)</f>
        <v>46139</v>
      </c>
      <c r="D5" s="21">
        <f>IF(DAY(MaySun1)=1,MaySun1-5,MaySun1+2)</f>
        <v>46140</v>
      </c>
      <c r="E5" s="21">
        <f>IF(DAY(MaySun1)=1,MaySun1-4,MaySun1+3)</f>
        <v>46141</v>
      </c>
      <c r="F5" s="21">
        <f>IF(DAY(MaySun1)=1,MaySun1-3,MaySun1+4)</f>
        <v>46142</v>
      </c>
      <c r="G5" s="21">
        <f>IF(DAY(MaySun1)=1,MaySun1-2,MaySun1+5)</f>
        <v>46143</v>
      </c>
      <c r="H5" s="21">
        <f>IF(DAY(MaySun1)=1,MaySun1-1,MaySun1+6)</f>
        <v>46144</v>
      </c>
      <c r="I5" s="21">
        <f>IF(DAY(MaySun1)=1,MaySun1,MaySun1+7)</f>
        <v>46145</v>
      </c>
      <c r="J5" s="7"/>
      <c r="K5" s="2"/>
      <c r="L5" s="44" t="s">
        <v>27</v>
      </c>
    </row>
    <row r="6" spans="1:12" ht="30" customHeight="1">
      <c r="A6" s="9"/>
      <c r="C6" s="21">
        <f>IF(DAY(MaySun1)=1,MaySun1+1,MaySun1+8)</f>
        <v>46146</v>
      </c>
      <c r="D6" s="21">
        <f>IF(DAY(MaySun1)=1,MaySun1+2,MaySun1+9)</f>
        <v>46147</v>
      </c>
      <c r="E6" s="21">
        <f>IF(DAY(MaySun1)=1,MaySun1+3,MaySun1+10)</f>
        <v>46148</v>
      </c>
      <c r="F6" s="21">
        <f>IF(DAY(MaySun1)=1,MaySun1+4,MaySun1+11)</f>
        <v>46149</v>
      </c>
      <c r="G6" s="21">
        <f>IF(DAY(MaySun1)=1,MaySun1+5,MaySun1+12)</f>
        <v>46150</v>
      </c>
      <c r="H6" s="21">
        <f>IF(DAY(MaySun1)=1,MaySun1+6,MaySun1+13)</f>
        <v>46151</v>
      </c>
      <c r="I6" s="21">
        <f>IF(DAY(MaySun1)=1,MaySun1+7,MaySun1+14)</f>
        <v>46152</v>
      </c>
      <c r="J6" s="7"/>
      <c r="K6" s="2"/>
      <c r="L6" s="44" t="s">
        <v>28</v>
      </c>
    </row>
    <row r="7" spans="1:12" ht="30" customHeight="1">
      <c r="A7" s="9"/>
      <c r="C7" s="21">
        <f>IF(DAY(MaySun1)=1,MaySun1+8,MaySun1+15)</f>
        <v>46153</v>
      </c>
      <c r="D7" s="21">
        <f>IF(DAY(MaySun1)=1,MaySun1+9,MaySun1+16)</f>
        <v>46154</v>
      </c>
      <c r="E7" s="21">
        <f>IF(DAY(MaySun1)=1,MaySun1+10,MaySun1+17)</f>
        <v>46155</v>
      </c>
      <c r="F7" s="21">
        <f>IF(DAY(MaySun1)=1,MaySun1+11,MaySun1+18)</f>
        <v>46156</v>
      </c>
      <c r="G7" s="21">
        <f>IF(DAY(MaySun1)=1,MaySun1+12,MaySun1+19)</f>
        <v>46157</v>
      </c>
      <c r="H7" s="21">
        <f>IF(DAY(MaySun1)=1,MaySun1+13,MaySun1+20)</f>
        <v>46158</v>
      </c>
      <c r="I7" s="21">
        <f>IF(DAY(MaySun1)=1,MaySun1+14,MaySun1+21)</f>
        <v>46159</v>
      </c>
      <c r="J7" s="7"/>
      <c r="K7" s="2"/>
      <c r="L7" s="44" t="s">
        <v>29</v>
      </c>
    </row>
    <row r="8" spans="1:12" ht="30" customHeight="1">
      <c r="A8" s="9"/>
      <c r="C8" s="21">
        <f>IF(DAY(MaySun1)=1,MaySun1+15,MaySun1+22)</f>
        <v>46160</v>
      </c>
      <c r="D8" s="21">
        <f>IF(DAY(MaySun1)=1,MaySun1+16,MaySun1+23)</f>
        <v>46161</v>
      </c>
      <c r="E8" s="21">
        <f>IF(DAY(MaySun1)=1,MaySun1+17,MaySun1+24)</f>
        <v>46162</v>
      </c>
      <c r="F8" s="21">
        <f>IF(DAY(MaySun1)=1,MaySun1+18,MaySun1+25)</f>
        <v>46163</v>
      </c>
      <c r="G8" s="21">
        <f>IF(DAY(MaySun1)=1,MaySun1+19,MaySun1+26)</f>
        <v>46164</v>
      </c>
      <c r="H8" s="21">
        <f>IF(DAY(MaySun1)=1,MaySun1+20,MaySun1+27)</f>
        <v>46165</v>
      </c>
      <c r="I8" s="21">
        <f>IF(DAY(MaySun1)=1,MaySun1+21,MaySun1+28)</f>
        <v>46166</v>
      </c>
      <c r="J8" s="7"/>
      <c r="K8" s="2"/>
    </row>
    <row r="9" spans="1:12" ht="30" customHeight="1">
      <c r="A9" s="9"/>
      <c r="C9" s="21">
        <f>IF(DAY(MaySun1)=1,MaySun1+22,MaySun1+29)</f>
        <v>46167</v>
      </c>
      <c r="D9" s="21">
        <f>IF(DAY(MaySun1)=1,MaySun1+23,MaySun1+30)</f>
        <v>46168</v>
      </c>
      <c r="E9" s="21">
        <f>IF(DAY(MaySun1)=1,MaySun1+24,MaySun1+31)</f>
        <v>46169</v>
      </c>
      <c r="F9" s="21">
        <f>IF(DAY(MaySun1)=1,MaySun1+25,MaySun1+32)</f>
        <v>46170</v>
      </c>
      <c r="G9" s="21">
        <f>IF(DAY(MaySun1)=1,MaySun1+26,MaySun1+33)</f>
        <v>46171</v>
      </c>
      <c r="H9" s="21">
        <f>IF(DAY(MaySun1)=1,MaySun1+27,MaySun1+34)</f>
        <v>46172</v>
      </c>
      <c r="I9" s="21">
        <f>IF(DAY(MaySun1)=1,MaySun1+28,MaySun1+35)</f>
        <v>46173</v>
      </c>
      <c r="J9" s="16"/>
      <c r="K9" s="14"/>
    </row>
    <row r="10" spans="1:12" ht="30" customHeight="1">
      <c r="A10" s="9"/>
      <c r="B10" s="12"/>
      <c r="C10" s="21">
        <f>IF(DAY(MaySun1)=1,MaySun1+29,MaySun1+36)</f>
        <v>46174</v>
      </c>
      <c r="D10" s="21">
        <f>IF(DAY(MaySun1)=1,MaySun1+30,MaySun1+37)</f>
        <v>46175</v>
      </c>
      <c r="E10" s="21">
        <f>IF(DAY(MaySun1)=1,MaySun1+31,MaySun1+38)</f>
        <v>46176</v>
      </c>
      <c r="F10" s="21">
        <f>IF(DAY(MaySun1)=1,MaySun1+32,MaySun1+39)</f>
        <v>46177</v>
      </c>
      <c r="G10" s="21">
        <f>IF(DAY(MaySun1)=1,MaySun1+33,MaySun1+40)</f>
        <v>46178</v>
      </c>
      <c r="H10" s="21">
        <f>IF(DAY(MaySun1)=1,MaySun1+34,MaySun1+41)</f>
        <v>46179</v>
      </c>
      <c r="I10" s="21">
        <f>IF(DAY(MaySun1)=1,MaySun1+35,MaySun1+42)</f>
        <v>46180</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6"/>
      <c r="K15" s="14"/>
      <c r="L15" s="12"/>
    </row>
    <row r="16" spans="1:12" ht="30" customHeight="1">
      <c r="A16" s="18"/>
      <c r="B16" s="50"/>
      <c r="C16" s="61"/>
      <c r="D16" s="61"/>
      <c r="E16" s="61"/>
      <c r="F16" s="61"/>
      <c r="G16" s="61"/>
      <c r="H16" s="61"/>
      <c r="I16" s="52"/>
      <c r="J16" s="19"/>
      <c r="K16" s="17"/>
    </row>
  </sheetData>
  <sheetProtection algorithmName="SHA-512" hashValue="4wSBKobzDLvZcHtIgW0NGwwY+XRjffKwd9O5ob2fMu5jVedXiX0epj6Lw1qad5Cma643RKFxxoUOPRgnaxmi9g==" saltValue="Lu9+FcHpL2xwglhr2MWjRQ=="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56" priority="3">
      <formula>B14&lt;&gt;""</formula>
    </cfRule>
  </conditionalFormatting>
  <conditionalFormatting sqref="B14:I16">
    <cfRule type="expression" dxfId="55" priority="1">
      <formula>COLUMN(B13)&gt;2</formula>
    </cfRule>
  </conditionalFormatting>
  <conditionalFormatting sqref="B15:I15">
    <cfRule type="expression" dxfId="54" priority="2">
      <formula>COLUMN(B14)&gt;=2</formula>
    </cfRule>
    <cfRule type="expression" dxfId="53" priority="4">
      <formula>B15&lt;&gt;""</formula>
    </cfRule>
  </conditionalFormatting>
  <conditionalFormatting sqref="C5:H5">
    <cfRule type="expression" dxfId="52" priority="6" stopIfTrue="1">
      <formula>DAY(C5)&gt;8</formula>
    </cfRule>
  </conditionalFormatting>
  <conditionalFormatting sqref="C5:I10">
    <cfRule type="expression" dxfId="51" priority="7">
      <formula>VLOOKUP(DAY(C5),AssignmentDays,1,FALSE)=DAY(C5)</formula>
    </cfRule>
  </conditionalFormatting>
  <conditionalFormatting sqref="C9:I10">
    <cfRule type="expression" dxfId="50" priority="5" stopIfTrue="1">
      <formula>AND(DAY(C9)&gt;=1,DAY(C9)&lt;=15)</formula>
    </cfRule>
  </conditionalFormatting>
  <dataValidations count="16">
    <dataValidation allowBlank="1" showInputMessage="1" showErrorMessage="1" prompt="Escriba la clase en esta fila, de la columna B a la I." sqref="B15" xr:uid="{00000000-0002-0000-0400-000000000000}"/>
    <dataValidation allowBlank="1" showInputMessage="1" showErrorMessage="1" prompt="Escriba la hora en esta fila, de la columna B a la I" sqref="B14" xr:uid="{00000000-0002-0000-0400-000001000000}"/>
    <dataValidation allowBlank="1" showInputMessage="1" showErrorMessage="1" prompt="Si esta fila contiene un número menor que el número o la fila de números anterior, en ese caso, esta fila contiene fechas para el próximo mes del calendario." sqref="C10" xr:uid="{00000000-0002-0000-0400-000002000000}"/>
    <dataValidation allowBlank="1" showInputMessage="1" showErrorMessage="1" prompt="Si esta celda no contiene el número 1, se trata de un día de del mes anterior. Las celdas C3 a I8 contienen fechas para el mes actual" sqref="C5" xr:uid="{00000000-0002-0000-0400-000003000000}"/>
    <dataValidation allowBlank="1" showInputMessage="1" showErrorMessage="1" prompt="Las celdas C2 a I2 contienen días de la semana." sqref="C4" xr:uid="{00000000-0002-0000-0400-000004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400-000005000000}"/>
    <dataValidation allowBlank="1" showInputMessage="1" showErrorMessage="1" prompt="Se actualiza automáticamente el año natural. Para cambiar el año, actualice la celda B1 en la hoja de cálculo ene" sqref="B3" xr:uid="{00000000-0002-0000-0400-000006000000}"/>
    <dataValidation allowBlank="1" showInputMessage="1" showErrorMessage="1" prompt="El calendario de mayo resalta automáticamente las entradas de la lista de tareas para el mes. Las fuentes más oscuras indican tareas. Las fuentes más claras indican días que pertenecen al mes anterior o al mes siguiente" sqref="B4" xr:uid="{00000000-0002-0000-04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400-000008000000}"/>
    <dataValidation allowBlank="1" showInputMessage="1" showErrorMessage="1" prompt="Escriba en esta columna los detalles de la tarea correspondientes al día de la semana en la columna J y al día en la columna K del mes calendario de la izquierda." sqref="L3" xr:uid="{00000000-0002-0000-04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400-00000A000000}"/>
    <dataValidation allowBlank="1" showInputMessage="1" showErrorMessage="1" prompt="Los días de la semana se encuentran en esta fila, del lunes al viernes." sqref="B13" xr:uid="{00000000-0002-0000-04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400-00000C000000}"/>
    <dataValidation allowBlank="1" showInputMessage="1" showErrorMessage="1" prompt="El nombre de la clase va en esta fila, empezando en la celda a la derecha" sqref="A15" xr:uid="{438F3FAF-885E-49F9-880C-C08723CBDDAD}"/>
    <dataValidation allowBlank="1" showInputMessage="1" showErrorMessage="1" prompt="El tiempo de clase va en esta fila, empezando en la celda hasta la derecha_x000a_" sqref="A14 A16" xr:uid="{D0622ED2-5F81-42CD-942F-B37325E5DC5C}"/>
    <dataValidation allowBlank="1" showInputMessage="1" showErrorMessage="1" prompt="El día de la semana va en esta fila, empezando en la celda B11" sqref="A13" xr:uid="{616A9345-5B44-4CE9-BB66-F33D33B33AF5}"/>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4.8984375" customWidth="1"/>
    <col min="13" max="13" width="2.59765625" customWidth="1"/>
  </cols>
  <sheetData>
    <row r="3" spans="1:12" ht="30" customHeight="1">
      <c r="B3" s="8">
        <f>AñoCalendario</f>
        <v>2026</v>
      </c>
      <c r="J3" s="15" t="s">
        <v>0</v>
      </c>
      <c r="K3" s="15" t="s">
        <v>1</v>
      </c>
      <c r="L3" s="25" t="s">
        <v>21</v>
      </c>
    </row>
    <row r="4" spans="1:12" ht="30" customHeight="1">
      <c r="A4" s="9"/>
      <c r="B4" s="29" t="s">
        <v>14</v>
      </c>
      <c r="C4" s="5" t="s">
        <v>3</v>
      </c>
      <c r="D4" s="5" t="s">
        <v>4</v>
      </c>
      <c r="E4" s="5" t="s">
        <v>5</v>
      </c>
      <c r="F4" s="5" t="s">
        <v>6</v>
      </c>
      <c r="G4" s="5" t="s">
        <v>7</v>
      </c>
      <c r="H4" s="5" t="s">
        <v>8</v>
      </c>
      <c r="I4" s="5" t="s">
        <v>9</v>
      </c>
      <c r="J4" s="47" t="s">
        <v>30</v>
      </c>
      <c r="K4" s="45">
        <v>30</v>
      </c>
      <c r="L4" s="32" t="s">
        <v>22</v>
      </c>
    </row>
    <row r="5" spans="1:12" ht="30" customHeight="1">
      <c r="A5" s="9"/>
      <c r="C5" s="21">
        <f>IF(DAY(JunSun1)=1,JunSun1-6,JunSun1+1)</f>
        <v>46174</v>
      </c>
      <c r="D5" s="21">
        <f>IF(DAY(JunSun1)=1,JunSun1-5,JunSun1+2)</f>
        <v>46175</v>
      </c>
      <c r="E5" s="21">
        <f>IF(DAY(JunSun1)=1,JunSun1-4,JunSun1+3)</f>
        <v>46176</v>
      </c>
      <c r="F5" s="21">
        <f>IF(DAY(JunSun1)=1,JunSun1-3,JunSun1+4)</f>
        <v>46177</v>
      </c>
      <c r="G5" s="21">
        <f>IF(DAY(JunSun1)=1,JunSun1-2,JunSun1+5)</f>
        <v>46178</v>
      </c>
      <c r="H5" s="21">
        <f>IF(DAY(JunSun1)=1,JunSun1-1,JunSun1+6)</f>
        <v>46179</v>
      </c>
      <c r="I5" s="21">
        <f>IF(DAY(JunSun1)=1,JunSun1,JunSun1+7)</f>
        <v>46180</v>
      </c>
      <c r="J5" s="7"/>
      <c r="K5" s="2"/>
      <c r="L5" t="s">
        <v>31</v>
      </c>
    </row>
    <row r="6" spans="1:12" ht="30" customHeight="1">
      <c r="A6" s="9"/>
      <c r="C6" s="21">
        <f>IF(DAY(JunSun1)=1,JunSun1+1,JunSun1+8)</f>
        <v>46181</v>
      </c>
      <c r="D6" s="21">
        <f>IF(DAY(JunSun1)=1,JunSun1+2,JunSun1+9)</f>
        <v>46182</v>
      </c>
      <c r="E6" s="21">
        <f>IF(DAY(JunSun1)=1,JunSun1+3,JunSun1+10)</f>
        <v>46183</v>
      </c>
      <c r="F6" s="21">
        <f>IF(DAY(JunSun1)=1,JunSun1+4,JunSun1+11)</f>
        <v>46184</v>
      </c>
      <c r="G6" s="21">
        <f>IF(DAY(JunSun1)=1,JunSun1+5,JunSun1+12)</f>
        <v>46185</v>
      </c>
      <c r="H6" s="21">
        <f>IF(DAY(JunSun1)=1,JunSun1+6,JunSun1+13)</f>
        <v>46186</v>
      </c>
      <c r="I6" s="21">
        <f>IF(DAY(JunSun1)=1,JunSun1+7,JunSun1+14)</f>
        <v>46187</v>
      </c>
      <c r="J6" s="7"/>
      <c r="K6" s="2"/>
      <c r="L6" s="32" t="s">
        <v>32</v>
      </c>
    </row>
    <row r="7" spans="1:12" ht="30" customHeight="1">
      <c r="A7" s="9"/>
      <c r="C7" s="21">
        <f>IF(DAY(JunSun1)=1,JunSun1+8,JunSun1+15)</f>
        <v>46188</v>
      </c>
      <c r="D7" s="21">
        <f>IF(DAY(JunSun1)=1,JunSun1+9,JunSun1+16)</f>
        <v>46189</v>
      </c>
      <c r="E7" s="21">
        <f>IF(DAY(JunSun1)=1,JunSun1+10,JunSun1+17)</f>
        <v>46190</v>
      </c>
      <c r="F7" s="21">
        <f>IF(DAY(JunSun1)=1,JunSun1+11,JunSun1+18)</f>
        <v>46191</v>
      </c>
      <c r="G7" s="21">
        <f>IF(DAY(JunSun1)=1,JunSun1+12,JunSun1+19)</f>
        <v>46192</v>
      </c>
      <c r="H7" s="21">
        <f>IF(DAY(JunSun1)=1,JunSun1+13,JunSun1+20)</f>
        <v>46193</v>
      </c>
      <c r="I7" s="21">
        <f>IF(DAY(JunSun1)=1,JunSun1+14,JunSun1+21)</f>
        <v>46194</v>
      </c>
      <c r="J7" s="7"/>
      <c r="K7" s="2"/>
      <c r="L7" s="32" t="s">
        <v>33</v>
      </c>
    </row>
    <row r="8" spans="1:12" ht="30" customHeight="1">
      <c r="A8" s="9"/>
      <c r="C8" s="21">
        <f>IF(DAY(JunSun1)=1,JunSun1+15,JunSun1+22)</f>
        <v>46195</v>
      </c>
      <c r="D8" s="21">
        <f>IF(DAY(JunSun1)=1,JunSun1+16,JunSun1+23)</f>
        <v>46196</v>
      </c>
      <c r="E8" s="21">
        <f>IF(DAY(JunSun1)=1,JunSun1+17,JunSun1+24)</f>
        <v>46197</v>
      </c>
      <c r="F8" s="21">
        <f>IF(DAY(JunSun1)=1,JunSun1+18,JunSun1+25)</f>
        <v>46198</v>
      </c>
      <c r="G8" s="21">
        <f>IF(DAY(JunSun1)=1,JunSun1+19,JunSun1+26)</f>
        <v>46199</v>
      </c>
      <c r="H8" s="21">
        <f>IF(DAY(JunSun1)=1,JunSun1+20,JunSun1+27)</f>
        <v>46200</v>
      </c>
      <c r="I8" s="21">
        <f>IF(DAY(JunSun1)=1,JunSun1+21,JunSun1+28)</f>
        <v>46201</v>
      </c>
      <c r="J8" s="7"/>
      <c r="K8" s="2"/>
      <c r="L8" s="44" t="s">
        <v>34</v>
      </c>
    </row>
    <row r="9" spans="1:12" ht="30" customHeight="1">
      <c r="A9" s="9"/>
      <c r="C9" s="21">
        <f>IF(DAY(JunSun1)=1,JunSun1+22,JunSun1+29)</f>
        <v>46202</v>
      </c>
      <c r="D9" s="21">
        <f>IF(DAY(JunSun1)=1,JunSun1+23,JunSun1+30)</f>
        <v>46203</v>
      </c>
      <c r="E9" s="21">
        <f>IF(DAY(JunSun1)=1,JunSun1+24,JunSun1+31)</f>
        <v>46204</v>
      </c>
      <c r="F9" s="21">
        <f>IF(DAY(JunSun1)=1,JunSun1+25,JunSun1+32)</f>
        <v>46205</v>
      </c>
      <c r="G9" s="21">
        <f>IF(DAY(JunSun1)=1,JunSun1+26,JunSun1+33)</f>
        <v>46206</v>
      </c>
      <c r="H9" s="21">
        <f>IF(DAY(JunSun1)=1,JunSun1+27,JunSun1+34)</f>
        <v>46207</v>
      </c>
      <c r="I9" s="21">
        <f>IF(DAY(JunSun1)=1,JunSun1+28,JunSun1+35)</f>
        <v>46208</v>
      </c>
      <c r="J9" s="20"/>
      <c r="K9" s="23"/>
      <c r="L9" t="s">
        <v>35</v>
      </c>
    </row>
    <row r="10" spans="1:12" ht="30" customHeight="1">
      <c r="A10" s="9"/>
      <c r="B10" s="12"/>
      <c r="C10" s="21">
        <f>IF(DAY(JunSun1)=1,JunSun1+29,JunSun1+36)</f>
        <v>46209</v>
      </c>
      <c r="D10" s="21">
        <f>IF(DAY(JunSun1)=1,JunSun1+30,JunSun1+37)</f>
        <v>46210</v>
      </c>
      <c r="E10" s="21">
        <f>IF(DAY(JunSun1)=1,JunSun1+31,JunSun1+38)</f>
        <v>46211</v>
      </c>
      <c r="F10" s="21">
        <f>IF(DAY(JunSun1)=1,JunSun1+32,JunSun1+39)</f>
        <v>46212</v>
      </c>
      <c r="G10" s="21">
        <f>IF(DAY(JunSun1)=1,JunSun1+33,JunSun1+40)</f>
        <v>46213</v>
      </c>
      <c r="H10" s="21">
        <f>IF(DAY(JunSun1)=1,JunSun1+34,JunSun1+41)</f>
        <v>46214</v>
      </c>
      <c r="I10" s="21">
        <f>IF(DAY(JunSun1)=1,JunSun1+35,JunSun1+42)</f>
        <v>46215</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
      <c r="K15" s="14"/>
      <c r="L15" s="13"/>
    </row>
    <row r="16" spans="1:12" ht="30" customHeight="1">
      <c r="A16" s="18"/>
      <c r="B16" s="50"/>
      <c r="C16" s="61"/>
      <c r="D16" s="61"/>
      <c r="E16" s="61"/>
      <c r="F16" s="61"/>
      <c r="G16" s="61"/>
      <c r="H16" s="61"/>
      <c r="I16" s="52"/>
      <c r="J16" s="7"/>
      <c r="K16" s="17"/>
    </row>
  </sheetData>
  <sheetProtection algorithmName="SHA-512" hashValue="P81tEHJptHXIeyR2sFeOWpnQfK7RkG1OAll9qnxTEXMQRrg0TktefcIkWUMu6DsZDxtnsNQ0F8lo36KDyLNUtw==" saltValue="5APIjLHr5NBPL6JgCvLrlQ=="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49" priority="3">
      <formula>B14&lt;&gt;""</formula>
    </cfRule>
  </conditionalFormatting>
  <conditionalFormatting sqref="B14:I16">
    <cfRule type="expression" dxfId="48" priority="1">
      <formula>COLUMN(B14)&gt;2</formula>
    </cfRule>
  </conditionalFormatting>
  <conditionalFormatting sqref="B15:I15">
    <cfRule type="expression" dxfId="47" priority="2">
      <formula>COLUMN(B15)&gt;=2</formula>
    </cfRule>
    <cfRule type="expression" dxfId="46" priority="4">
      <formula>B15&lt;&gt;""</formula>
    </cfRule>
  </conditionalFormatting>
  <conditionalFormatting sqref="C5:H5">
    <cfRule type="expression" dxfId="45" priority="6" stopIfTrue="1">
      <formula>DAY(C5)&gt;8</formula>
    </cfRule>
  </conditionalFormatting>
  <conditionalFormatting sqref="C5:I10">
    <cfRule type="expression" dxfId="44" priority="7">
      <formula>VLOOKUP(DAY(C5),AssignmentDays,1,FALSE)=DAY(C5)</formula>
    </cfRule>
  </conditionalFormatting>
  <conditionalFormatting sqref="C9:I10">
    <cfRule type="expression" dxfId="43" priority="5" stopIfTrue="1">
      <formula>AND(DAY(C9)&gt;=1,DAY(C9)&lt;=15)</formula>
    </cfRule>
  </conditionalFormatting>
  <dataValidations xWindow="282" yWindow="780" count="16">
    <dataValidation allowBlank="1" showInputMessage="1" showErrorMessage="1" prompt="El calendario de junio resalta automáticamente las entradas de la lista de tareas para el mes. Las fuentes más oscuras indican tareas. Las fuentes más claras indican días que pertenecen al mes anterior o al mes siguiente" sqref="B4" xr:uid="{00000000-0002-0000-0500-000000000000}"/>
    <dataValidation allowBlank="1" showInputMessage="1" showErrorMessage="1" prompt="Se actualiza automáticamente el año natural. Para cambiar el año, actualice la celda B1 en la hoja de cálculo ene" sqref="B3" xr:uid="{00000000-0002-0000-0500-000001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500-000002000000}"/>
    <dataValidation allowBlank="1" showInputMessage="1" showErrorMessage="1" prompt="Las celdas C2 a I2 contienen días de la semana." sqref="C4" xr:uid="{00000000-0002-0000-0500-000003000000}"/>
    <dataValidation allowBlank="1" showInputMessage="1" showErrorMessage="1" prompt="Si esta celda no contiene el número 1, se trata de un día de del mes anterior. Las celdas C3 a I8 contienen fechas para el mes actual" sqref="C5" xr:uid="{00000000-0002-0000-0500-000004000000}"/>
    <dataValidation allowBlank="1" showInputMessage="1" showErrorMessage="1" prompt="Si esta fila contiene un número menor que el número o la fila de números anterior, en ese caso, esta fila contiene fechas para el próximo mes del calendario." sqref="C10" xr:uid="{00000000-0002-0000-0500-000005000000}"/>
    <dataValidation allowBlank="1" showInputMessage="1" showErrorMessage="1" prompt="Escriba la hora en esta fila, de la columna B a la I" sqref="B14" xr:uid="{00000000-0002-0000-0500-000006000000}"/>
    <dataValidation allowBlank="1" showInputMessage="1" showErrorMessage="1" prompt="Escriba la clase en esta fila, de la columna B a la I." sqref="B15" xr:uid="{00000000-0002-0000-05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500-000008000000}"/>
    <dataValidation allowBlank="1" showInputMessage="1" showErrorMessage="1" prompt="Escriba en esta columna los detalles de la tarea correspondientes al día de la semana en la columna J y al día en la columna K del mes calendario de la izquierda." sqref="L3" xr:uid="{00000000-0002-0000-05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500-00000A000000}"/>
    <dataValidation allowBlank="1" showInputMessage="1" showErrorMessage="1" prompt="Los días de la semana se encuentran en esta fila, del lunes al viernes." sqref="B13" xr:uid="{00000000-0002-0000-05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500-00000C000000}"/>
    <dataValidation allowBlank="1" showInputMessage="1" showErrorMessage="1" prompt="El nombre de la clase va en esta fila, empezando en la celda a la derecha" sqref="A15" xr:uid="{188FC040-C6C6-4986-84F4-8D08FE285A17}"/>
    <dataValidation allowBlank="1" showInputMessage="1" showErrorMessage="1" prompt="El tiempo de clase va en esta fila, empezando en la celda hasta la derecha_x000a_" sqref="A14 A16" xr:uid="{6B86CD8A-81CD-406F-AFBF-55BFEE011832}"/>
    <dataValidation allowBlank="1" showInputMessage="1" showErrorMessage="1" prompt="El día de la semana va en esta fila, empezando en la celda B11" sqref="A13" xr:uid="{634ABA3B-AE96-427A-BD7A-3178682C330B}"/>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8" t="s">
        <v>15</v>
      </c>
      <c r="C4" s="5" t="s">
        <v>3</v>
      </c>
      <c r="D4" s="5" t="s">
        <v>4</v>
      </c>
      <c r="E4" s="5" t="s">
        <v>5</v>
      </c>
      <c r="F4" s="5" t="s">
        <v>6</v>
      </c>
      <c r="G4" s="5" t="s">
        <v>7</v>
      </c>
      <c r="H4" s="5" t="s">
        <v>8</v>
      </c>
      <c r="I4" s="5" t="s">
        <v>9</v>
      </c>
      <c r="J4" s="47" t="s">
        <v>30</v>
      </c>
      <c r="K4" s="45">
        <v>31</v>
      </c>
      <c r="L4" s="44" t="s">
        <v>36</v>
      </c>
    </row>
    <row r="5" spans="1:12" ht="30" customHeight="1">
      <c r="A5" s="9"/>
      <c r="C5" s="21">
        <f>IF(DAY(JulSun1)=1,JulSun1-6,JulSun1+1)</f>
        <v>46202</v>
      </c>
      <c r="D5" s="21">
        <f>IF(DAY(JulSun1)=1,JulSun1-5,JulSun1+2)</f>
        <v>46203</v>
      </c>
      <c r="E5" s="21">
        <f>IF(DAY(JulSun1)=1,JulSun1-4,JulSun1+3)</f>
        <v>46204</v>
      </c>
      <c r="F5" s="21">
        <f>IF(DAY(JulSun1)=1,JulSun1-3,JulSun1+4)</f>
        <v>46205</v>
      </c>
      <c r="G5" s="21">
        <f>IF(DAY(JulSun1)=1,JulSun1-2,JulSun1+5)</f>
        <v>46206</v>
      </c>
      <c r="H5" s="21">
        <f>IF(DAY(JulSun1)=1,JulSun1-1,JulSun1+6)</f>
        <v>46207</v>
      </c>
      <c r="I5" s="21">
        <f>IF(DAY(JulSun1)=1,JulSun1,JulSun1+7)</f>
        <v>46208</v>
      </c>
      <c r="J5" s="7"/>
      <c r="K5" s="2"/>
    </row>
    <row r="6" spans="1:12" ht="30" customHeight="1">
      <c r="A6" s="9"/>
      <c r="C6" s="21">
        <f>IF(DAY(JulSun1)=1,JulSun1+1,JulSun1+8)</f>
        <v>46209</v>
      </c>
      <c r="D6" s="21">
        <f>IF(DAY(JulSun1)=1,JulSun1+2,JulSun1+9)</f>
        <v>46210</v>
      </c>
      <c r="E6" s="21">
        <f>IF(DAY(JulSun1)=1,JulSun1+3,JulSun1+10)</f>
        <v>46211</v>
      </c>
      <c r="F6" s="21">
        <f>IF(DAY(JulSun1)=1,JulSun1+4,JulSun1+11)</f>
        <v>46212</v>
      </c>
      <c r="G6" s="21">
        <f>IF(DAY(JulSun1)=1,JulSun1+5,JulSun1+12)</f>
        <v>46213</v>
      </c>
      <c r="H6" s="21">
        <f>IF(DAY(JulSun1)=1,JulSun1+6,JulSun1+13)</f>
        <v>46214</v>
      </c>
      <c r="I6" s="21">
        <f>IF(DAY(JulSun1)=1,JulSun1+7,JulSun1+14)</f>
        <v>46215</v>
      </c>
      <c r="J6" s="7"/>
      <c r="K6" s="2"/>
    </row>
    <row r="7" spans="1:12" ht="30" customHeight="1">
      <c r="A7" s="9"/>
      <c r="C7" s="21">
        <f>IF(DAY(JulSun1)=1,JulSun1+8,JulSun1+15)</f>
        <v>46216</v>
      </c>
      <c r="D7" s="21">
        <f>IF(DAY(JulSun1)=1,JulSun1+9,JulSun1+16)</f>
        <v>46217</v>
      </c>
      <c r="E7" s="21">
        <f>IF(DAY(JulSun1)=1,JulSun1+10,JulSun1+17)</f>
        <v>46218</v>
      </c>
      <c r="F7" s="21">
        <f>IF(DAY(JulSun1)=1,JulSun1+11,JulSun1+18)</f>
        <v>46219</v>
      </c>
      <c r="G7" s="21">
        <f>IF(DAY(JulSun1)=1,JulSun1+12,JulSun1+19)</f>
        <v>46220</v>
      </c>
      <c r="H7" s="21">
        <f>IF(DAY(JulSun1)=1,JulSun1+13,JulSun1+20)</f>
        <v>46221</v>
      </c>
      <c r="I7" s="21">
        <f>IF(DAY(JulSun1)=1,JulSun1+14,JulSun1+21)</f>
        <v>46222</v>
      </c>
      <c r="J7" s="7"/>
      <c r="K7" s="2"/>
    </row>
    <row r="8" spans="1:12" ht="30" customHeight="1">
      <c r="A8" s="9"/>
      <c r="C8" s="21">
        <f>IF(DAY(JulSun1)=1,JulSun1+15,JulSun1+22)</f>
        <v>46223</v>
      </c>
      <c r="D8" s="21">
        <f>IF(DAY(JulSun1)=1,JulSun1+16,JulSun1+23)</f>
        <v>46224</v>
      </c>
      <c r="E8" s="21">
        <f>IF(DAY(JulSun1)=1,JulSun1+17,JulSun1+24)</f>
        <v>46225</v>
      </c>
      <c r="F8" s="21">
        <f>IF(DAY(JulSun1)=1,JulSun1+18,JulSun1+25)</f>
        <v>46226</v>
      </c>
      <c r="G8" s="21">
        <f>IF(DAY(JulSun1)=1,JulSun1+19,JulSun1+26)</f>
        <v>46227</v>
      </c>
      <c r="H8" s="21">
        <f>IF(DAY(JulSun1)=1,JulSun1+20,JulSun1+27)</f>
        <v>46228</v>
      </c>
      <c r="I8" s="21">
        <f>IF(DAY(JulSun1)=1,JulSun1+21,JulSun1+28)</f>
        <v>46229</v>
      </c>
      <c r="J8" s="7"/>
      <c r="K8" s="2"/>
    </row>
    <row r="9" spans="1:12" ht="30" customHeight="1">
      <c r="A9" s="9"/>
      <c r="C9" s="21">
        <f>IF(DAY(JulSun1)=1,JulSun1+22,JulSun1+29)</f>
        <v>46230</v>
      </c>
      <c r="D9" s="21">
        <f>IF(DAY(JulSun1)=1,JulSun1+23,JulSun1+30)</f>
        <v>46231</v>
      </c>
      <c r="E9" s="21">
        <f>IF(DAY(JulSun1)=1,JulSun1+24,JulSun1+31)</f>
        <v>46232</v>
      </c>
      <c r="F9" s="21">
        <f>IF(DAY(JulSun1)=1,JulSun1+25,JulSun1+32)</f>
        <v>46233</v>
      </c>
      <c r="G9" s="21">
        <f>IF(DAY(JulSun1)=1,JulSun1+26,JulSun1+33)</f>
        <v>46234</v>
      </c>
      <c r="H9" s="21">
        <f>IF(DAY(JulSun1)=1,JulSun1+27,JulSun1+34)</f>
        <v>46235</v>
      </c>
      <c r="I9" s="21">
        <f>IF(DAY(JulSun1)=1,JulSun1+28,JulSun1+35)</f>
        <v>46236</v>
      </c>
      <c r="J9" s="1"/>
      <c r="K9" s="14"/>
    </row>
    <row r="10" spans="1:12" ht="30" customHeight="1">
      <c r="A10" s="9"/>
      <c r="B10" s="12"/>
      <c r="C10" s="21">
        <f>IF(DAY(JulSun1)=1,JulSun1+29,JulSun1+36)</f>
        <v>46237</v>
      </c>
      <c r="D10" s="21">
        <f>IF(DAY(JulSun1)=1,JulSun1+30,JulSun1+37)</f>
        <v>46238</v>
      </c>
      <c r="E10" s="21">
        <f>IF(DAY(JulSun1)=1,JulSun1+31,JulSun1+38)</f>
        <v>46239</v>
      </c>
      <c r="F10" s="21">
        <f>IF(DAY(JulSun1)=1,JulSun1+32,JulSun1+39)</f>
        <v>46240</v>
      </c>
      <c r="G10" s="21">
        <f>IF(DAY(JulSun1)=1,JulSun1+33,JulSun1+40)</f>
        <v>46241</v>
      </c>
      <c r="H10" s="21">
        <f>IF(DAY(JulSun1)=1,JulSun1+34,JulSun1+41)</f>
        <v>46242</v>
      </c>
      <c r="I10" s="21">
        <f>IF(DAY(JulSun1)=1,JulSun1+35,JulSun1+42)</f>
        <v>46243</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
      <c r="K15" s="14"/>
      <c r="L15" s="13"/>
    </row>
    <row r="16" spans="1:12" ht="30" customHeight="1">
      <c r="A16" s="18"/>
      <c r="B16" s="50"/>
      <c r="C16" s="61"/>
      <c r="D16" s="61"/>
      <c r="E16" s="61"/>
      <c r="F16" s="61"/>
      <c r="G16" s="61"/>
      <c r="H16" s="61"/>
      <c r="I16" s="52"/>
      <c r="J16" s="7"/>
      <c r="K16" s="17"/>
    </row>
  </sheetData>
  <sheetProtection algorithmName="SHA-512" hashValue="6T1VQLjHQFSpbXUolYzPPQ6FYmfuGoQOS0yHamG93pwlG0KozQ7LdUH+m2FZCMC+fnzk+7apbuG7tAhxrzqsjQ==" saltValue="tsOhDz3cYDFxGbyJcZXWEQ=="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42" priority="4">
      <formula>B14&lt;&gt;""</formula>
    </cfRule>
  </conditionalFormatting>
  <conditionalFormatting sqref="B14:I16">
    <cfRule type="expression" dxfId="41" priority="1">
      <formula>COLUMN(B14)&gt;2</formula>
    </cfRule>
  </conditionalFormatting>
  <conditionalFormatting sqref="B15:I15">
    <cfRule type="expression" dxfId="40" priority="2">
      <formula>COLUMN(B15)&gt;=2</formula>
    </cfRule>
    <cfRule type="expression" dxfId="39" priority="3">
      <formula>B15&lt;&gt;""</formula>
    </cfRule>
  </conditionalFormatting>
  <conditionalFormatting sqref="C5:H5">
    <cfRule type="expression" dxfId="38" priority="6" stopIfTrue="1">
      <formula>DAY(C5)&gt;8</formula>
    </cfRule>
  </conditionalFormatting>
  <conditionalFormatting sqref="C5:I10">
    <cfRule type="expression" dxfId="37" priority="7">
      <formula>VLOOKUP(DAY(C5),AssignmentDays,1,FALSE)=DAY(C5)</formula>
    </cfRule>
  </conditionalFormatting>
  <conditionalFormatting sqref="C9:I10">
    <cfRule type="expression" dxfId="36" priority="5" stopIfTrue="1">
      <formula>AND(DAY(C9)&gt;=1,DAY(C9)&lt;=15)</formula>
    </cfRule>
  </conditionalFormatting>
  <dataValidations xWindow="239" yWindow="583" count="16">
    <dataValidation allowBlank="1" showInputMessage="1" showErrorMessage="1" prompt="Escriba la clase en esta fila, de la columna B a la I." sqref="B15" xr:uid="{00000000-0002-0000-0600-000000000000}"/>
    <dataValidation allowBlank="1" showInputMessage="1" showErrorMessage="1" prompt="Escriba la hora en esta fila, de la columna B a la I" sqref="B14" xr:uid="{00000000-0002-0000-0600-000001000000}"/>
    <dataValidation allowBlank="1" showInputMessage="1" showErrorMessage="1" prompt="Si esta fila contiene un número menor que el número o la fila de números anterior, en ese caso, esta fila contiene fechas para el próximo mes del calendario." sqref="C10" xr:uid="{00000000-0002-0000-0600-000002000000}"/>
    <dataValidation allowBlank="1" showInputMessage="1" showErrorMessage="1" prompt="Si esta celda no contiene el número 1, se trata de un día de del mes anterior. Las celdas C3 a I8 contienen fechas para el mes actual" sqref="C5" xr:uid="{00000000-0002-0000-0600-000003000000}"/>
    <dataValidation allowBlank="1" showInputMessage="1" showErrorMessage="1" prompt="Las celdas C2 a I2 contienen días de la semana." sqref="C4" xr:uid="{00000000-0002-0000-0600-000004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600-000005000000}"/>
    <dataValidation allowBlank="1" showInputMessage="1" showErrorMessage="1" prompt="Se actualiza automáticamente el año natural. Para cambiar el año, actualice la celda B1 en la hoja de cálculo ene" sqref="B3" xr:uid="{00000000-0002-0000-0600-000006000000}"/>
    <dataValidation allowBlank="1" showInputMessage="1" showErrorMessage="1" prompt="El calendario de julio resalta automáticamente las entradas de la lista de tareas para el mes. Las fuentes más oscuras indican tareas. Las fuentes más claras indican días que pertenecen al mes anterior o al mes siguiente" sqref="B4" xr:uid="{00000000-0002-0000-06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600-000008000000}"/>
    <dataValidation allowBlank="1" showInputMessage="1" showErrorMessage="1" prompt="Escriba en esta columna los detalles de la tarea correspondientes al día de la semana en la columna J y al día en la columna K del mes calendario de la izquierda." sqref="L3" xr:uid="{00000000-0002-0000-06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600-00000A000000}"/>
    <dataValidation allowBlank="1" showInputMessage="1" showErrorMessage="1" prompt="Los días de la semana se encuentran en esta fila, del lunes al viernes." sqref="B13" xr:uid="{00000000-0002-0000-06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600-00000C000000}"/>
    <dataValidation allowBlank="1" showInputMessage="1" showErrorMessage="1" prompt="El nombre de la clase va en esta fila, empezando en la celda a la derecha" sqref="A15" xr:uid="{189F8C19-08F5-4583-9FF3-CD200BE06F89}"/>
    <dataValidation allowBlank="1" showInputMessage="1" showErrorMessage="1" prompt="El tiempo de clase va en esta fila, empezando en la celda hasta la derecha_x000a_" sqref="A14 A16" xr:uid="{56E51AE5-F638-4235-8B70-96DDC96962C1}"/>
    <dataValidation allowBlank="1" showInputMessage="1" showErrorMessage="1" prompt="El día de la semana va en esta fila, empezando en la celda B11" sqref="A13" xr:uid="{EA8CD20E-030F-477F-9247-BACAAD291DDE}"/>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8" t="s">
        <v>16</v>
      </c>
      <c r="C4" s="5" t="s">
        <v>3</v>
      </c>
      <c r="D4" s="5" t="s">
        <v>4</v>
      </c>
      <c r="E4" s="5" t="s">
        <v>5</v>
      </c>
      <c r="F4" s="5" t="s">
        <v>6</v>
      </c>
      <c r="G4" s="5" t="s">
        <v>7</v>
      </c>
      <c r="H4" s="5" t="s">
        <v>8</v>
      </c>
      <c r="I4" s="5" t="s">
        <v>9</v>
      </c>
      <c r="J4" s="47" t="s">
        <v>30</v>
      </c>
      <c r="K4" s="45">
        <v>31</v>
      </c>
      <c r="L4" s="44" t="s">
        <v>25</v>
      </c>
    </row>
    <row r="5" spans="1:12" ht="30" customHeight="1">
      <c r="A5" s="9"/>
      <c r="C5" s="21">
        <f>IF(DAY(AgoDom1)=1,AgoDom1-6,AgoDom1+1)</f>
        <v>46230</v>
      </c>
      <c r="D5" s="21">
        <f>IF(DAY(AgoDom1)=1,AgoDom1-5,AgoDom1+2)</f>
        <v>46231</v>
      </c>
      <c r="E5" s="21">
        <f>IF(DAY(AgoDom1)=1,AgoDom1-4,AgoDom1+3)</f>
        <v>46232</v>
      </c>
      <c r="F5" s="21">
        <f>IF(DAY(AgoDom1)=1,AgoDom1-3,AgoDom1+4)</f>
        <v>46233</v>
      </c>
      <c r="G5" s="21">
        <f>IF(DAY(AgoDom1)=1,AgoDom1-2,AgoDom1+5)</f>
        <v>46234</v>
      </c>
      <c r="H5" s="21">
        <f>IF(DAY(AgoDom1)=1,AgoDom1-1,AgoDom1+6)</f>
        <v>46235</v>
      </c>
      <c r="I5" s="21">
        <f>IF(DAY(AgoDom1)=1,AgoDom1,AgoDom1+7)</f>
        <v>46236</v>
      </c>
      <c r="J5" s="7"/>
      <c r="K5" s="2"/>
      <c r="L5" s="44" t="s">
        <v>37</v>
      </c>
    </row>
    <row r="6" spans="1:12" ht="30" customHeight="1">
      <c r="A6" s="9"/>
      <c r="C6" s="21">
        <f>IF(DAY(AgoDom1)=1,AgoDom1+1,AgoDom1+8)</f>
        <v>46237</v>
      </c>
      <c r="D6" s="21">
        <f>IF(DAY(AgoDom1)=1,AgoDom1+2,AgoDom1+9)</f>
        <v>46238</v>
      </c>
      <c r="E6" s="21">
        <f>IF(DAY(AgoDom1)=1,AgoDom1+3,AgoDom1+10)</f>
        <v>46239</v>
      </c>
      <c r="F6" s="21">
        <f>IF(DAY(AgoDom1)=1,AgoDom1+4,AgoDom1+11)</f>
        <v>46240</v>
      </c>
      <c r="G6" s="21">
        <f>IF(DAY(AgoDom1)=1,AgoDom1+5,AgoDom1+12)</f>
        <v>46241</v>
      </c>
      <c r="H6" s="21">
        <f>IF(DAY(AgoDom1)=1,AgoDom1+6,AgoDom1+13)</f>
        <v>46242</v>
      </c>
      <c r="I6" s="21">
        <f>IF(DAY(AgoDom1)=1,AgoDom1+7,AgoDom1+14)</f>
        <v>46243</v>
      </c>
      <c r="J6" s="7"/>
      <c r="K6" s="2"/>
    </row>
    <row r="7" spans="1:12" ht="30" customHeight="1">
      <c r="A7" s="9"/>
      <c r="C7" s="21">
        <f>IF(DAY(AgoDom1)=1,AgoDom1+8,AgoDom1+15)</f>
        <v>46244</v>
      </c>
      <c r="D7" s="21">
        <f>IF(DAY(AgoDom1)=1,AgoDom1+9,AgoDom1+16)</f>
        <v>46245</v>
      </c>
      <c r="E7" s="21">
        <f>IF(DAY(AgoDom1)=1,AgoDom1+10,AgoDom1+17)</f>
        <v>46246</v>
      </c>
      <c r="F7" s="21">
        <f>IF(DAY(AgoDom1)=1,AgoDom1+11,AgoDom1+18)</f>
        <v>46247</v>
      </c>
      <c r="G7" s="21">
        <f>IF(DAY(AgoDom1)=1,AgoDom1+12,AgoDom1+19)</f>
        <v>46248</v>
      </c>
      <c r="H7" s="21">
        <f>IF(DAY(AgoDom1)=1,AgoDom1+13,AgoDom1+20)</f>
        <v>46249</v>
      </c>
      <c r="I7" s="21">
        <f>IF(DAY(AgoDom1)=1,AgoDom1+14,AgoDom1+21)</f>
        <v>46250</v>
      </c>
      <c r="J7" s="7"/>
      <c r="K7" s="2"/>
    </row>
    <row r="8" spans="1:12" ht="30" customHeight="1">
      <c r="A8" s="9"/>
      <c r="C8" s="21">
        <f>IF(DAY(AgoDom1)=1,AgoDom1+15,AgoDom1+22)</f>
        <v>46251</v>
      </c>
      <c r="D8" s="21">
        <f>IF(DAY(AgoDom1)=1,AgoDom1+16,AgoDom1+23)</f>
        <v>46252</v>
      </c>
      <c r="E8" s="21">
        <f>IF(DAY(AgoDom1)=1,AgoDom1+17,AgoDom1+24)</f>
        <v>46253</v>
      </c>
      <c r="F8" s="21">
        <f>IF(DAY(AgoDom1)=1,AgoDom1+18,AgoDom1+25)</f>
        <v>46254</v>
      </c>
      <c r="G8" s="21">
        <f>IF(DAY(AgoDom1)=1,AgoDom1+19,AgoDom1+26)</f>
        <v>46255</v>
      </c>
      <c r="H8" s="21">
        <f>IF(DAY(AgoDom1)=1,AgoDom1+20,AgoDom1+27)</f>
        <v>46256</v>
      </c>
      <c r="I8" s="21">
        <f>IF(DAY(AgoDom1)=1,AgoDom1+21,AgoDom1+28)</f>
        <v>46257</v>
      </c>
      <c r="J8" s="7"/>
      <c r="K8" s="2"/>
    </row>
    <row r="9" spans="1:12" ht="30" customHeight="1">
      <c r="A9" s="9"/>
      <c r="C9" s="21">
        <f>IF(DAY(AgoDom1)=1,AgoDom1+22,AgoDom1+29)</f>
        <v>46258</v>
      </c>
      <c r="D9" s="21">
        <f>IF(DAY(AgoDom1)=1,AgoDom1+23,AgoDom1+30)</f>
        <v>46259</v>
      </c>
      <c r="E9" s="21">
        <f>IF(DAY(AgoDom1)=1,AgoDom1+24,AgoDom1+31)</f>
        <v>46260</v>
      </c>
      <c r="F9" s="21">
        <f>IF(DAY(AgoDom1)=1,AgoDom1+25,AgoDom1+32)</f>
        <v>46261</v>
      </c>
      <c r="G9" s="21">
        <f>IF(DAY(AgoDom1)=1,AgoDom1+26,AgoDom1+33)</f>
        <v>46262</v>
      </c>
      <c r="H9" s="21">
        <f>IF(DAY(AgoDom1)=1,AgoDom1+27,AgoDom1+34)</f>
        <v>46263</v>
      </c>
      <c r="I9" s="21">
        <f>IF(DAY(AgoDom1)=1,AgoDom1+28,AgoDom1+35)</f>
        <v>46264</v>
      </c>
      <c r="J9" s="16"/>
      <c r="K9" s="14"/>
    </row>
    <row r="10" spans="1:12" ht="30" customHeight="1">
      <c r="A10" s="9"/>
      <c r="B10" s="12"/>
      <c r="C10" s="21">
        <f>IF(DAY(AgoDom1)=1,AgoDom1+29,AgoDom1+36)</f>
        <v>46265</v>
      </c>
      <c r="D10" s="21">
        <f>IF(DAY(AgoDom1)=1,AgoDom1+30,AgoDom1+37)</f>
        <v>46266</v>
      </c>
      <c r="E10" s="21">
        <f>IF(DAY(AgoDom1)=1,AgoDom1+31,AgoDom1+38)</f>
        <v>46267</v>
      </c>
      <c r="F10" s="21">
        <f>IF(DAY(AgoDom1)=1,AgoDom1+32,AgoDom1+39)</f>
        <v>46268</v>
      </c>
      <c r="G10" s="21">
        <f>IF(DAY(AgoDom1)=1,AgoDom1+33,AgoDom1+40)</f>
        <v>46269</v>
      </c>
      <c r="H10" s="21">
        <f>IF(DAY(AgoDom1)=1,AgoDom1+34,AgoDom1+41)</f>
        <v>46270</v>
      </c>
      <c r="I10" s="21">
        <f>IF(DAY(AgoDom1)=1,AgoDom1+35,AgoDom1+42)</f>
        <v>46271</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6"/>
      <c r="K15" s="14"/>
      <c r="L15" s="13"/>
    </row>
    <row r="16" spans="1:12" ht="30" customHeight="1">
      <c r="A16" s="18"/>
      <c r="B16" s="50"/>
      <c r="C16" s="61"/>
      <c r="D16" s="61"/>
      <c r="E16" s="61"/>
      <c r="F16" s="61"/>
      <c r="G16" s="61"/>
      <c r="H16" s="61"/>
      <c r="I16" s="52"/>
      <c r="J16" s="7"/>
      <c r="K16" s="17"/>
    </row>
  </sheetData>
  <sheetProtection algorithmName="SHA-512" hashValue="3XwLhwGMXIWJkcmTy7KFjEtM6gtJ4BuNsPAJb86ywqm7is8eWtlNJyIgZi/GjH0Qayd2/j7FHTBPch/H/1opfg==" saltValue="Dd3fLlPtqcNZUOp8uj3EXg=="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35" priority="4">
      <formula>B14&lt;&gt;""</formula>
    </cfRule>
  </conditionalFormatting>
  <conditionalFormatting sqref="B14:I16">
    <cfRule type="expression" dxfId="34" priority="1">
      <formula>COLUMN(B14)&gt;2</formula>
    </cfRule>
  </conditionalFormatting>
  <conditionalFormatting sqref="B15:I15">
    <cfRule type="expression" dxfId="33" priority="2">
      <formula>COLUMN(B15)&gt;=2</formula>
    </cfRule>
    <cfRule type="expression" dxfId="32" priority="3">
      <formula>B14&lt;&gt;""</formula>
    </cfRule>
  </conditionalFormatting>
  <conditionalFormatting sqref="C5:H5">
    <cfRule type="expression" dxfId="31" priority="6" stopIfTrue="1">
      <formula>DAY(C5)&gt;8</formula>
    </cfRule>
  </conditionalFormatting>
  <conditionalFormatting sqref="C5:I10">
    <cfRule type="expression" dxfId="30" priority="7">
      <formula>VLOOKUP(DAY(C5),AssignmentDays,1,FALSE)=DAY(C5)</formula>
    </cfRule>
  </conditionalFormatting>
  <conditionalFormatting sqref="C9:I10">
    <cfRule type="expression" dxfId="29" priority="5" stopIfTrue="1">
      <formula>AND(DAY(C9)&gt;=1,DAY(C9)&lt;=15)</formula>
    </cfRule>
  </conditionalFormatting>
  <dataValidations xWindow="132" yWindow="585" count="16">
    <dataValidation allowBlank="1" showInputMessage="1" showErrorMessage="1" prompt="El calendario de agosto resalta automáticamente las entradas de la lista de tareas para el mes. Las fuentes más oscuras indican tareas. Las fuentes más claras indican días que pertenecen al mes anterior o al mes siguiente" sqref="B4" xr:uid="{00000000-0002-0000-0700-000000000000}"/>
    <dataValidation allowBlank="1" showInputMessage="1" showErrorMessage="1" prompt="Se actualiza automáticamente el año natural. Para cambiar el año, actualice la celda B1 en la hoja de cálculo ene" sqref="B3" xr:uid="{00000000-0002-0000-0700-000001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700-000002000000}"/>
    <dataValidation allowBlank="1" showInputMessage="1" showErrorMessage="1" prompt="Las celdas C2 a I2 contienen días de la semana." sqref="C4" xr:uid="{00000000-0002-0000-0700-000003000000}"/>
    <dataValidation allowBlank="1" showInputMessage="1" showErrorMessage="1" prompt="Si esta celda no contiene el número 1, se trata de un día de del mes anterior. Las celdas C3 a I8 contienen fechas para el mes actual" sqref="C5" xr:uid="{00000000-0002-0000-0700-000004000000}"/>
    <dataValidation allowBlank="1" showInputMessage="1" showErrorMessage="1" prompt="Si esta fila contiene un número menor que el número o la fila de números anterior, en ese caso, esta fila contiene fechas para el próximo mes del calendario." sqref="C10" xr:uid="{00000000-0002-0000-0700-000005000000}"/>
    <dataValidation allowBlank="1" showInputMessage="1" showErrorMessage="1" prompt="Escriba la hora en esta fila, de la columna B a la I" sqref="B14" xr:uid="{00000000-0002-0000-0700-000006000000}"/>
    <dataValidation allowBlank="1" showInputMessage="1" showErrorMessage="1" prompt="Escriba la clase en esta fila, de la columna B a la I." sqref="B15" xr:uid="{00000000-0002-0000-07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700-000008000000}"/>
    <dataValidation allowBlank="1" showInputMessage="1" showErrorMessage="1" prompt="Escriba en esta columna los detalles de la tarea correspondientes al día de la semana en la columna J y al día en la columna K del mes calendario de la izquierda." sqref="L3" xr:uid="{00000000-0002-0000-07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700-00000A000000}"/>
    <dataValidation allowBlank="1" showInputMessage="1" showErrorMessage="1" prompt="Los días de la semana se encuentran en esta fila, del lunes al viernes." sqref="B13" xr:uid="{00000000-0002-0000-07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700-00000C000000}"/>
    <dataValidation allowBlank="1" showInputMessage="1" showErrorMessage="1" prompt="El nombre de la clase va en esta fila, empezando en la celda a la derecha" sqref="A15" xr:uid="{651DF7E9-087F-4EA0-BD6D-07883D17269A}"/>
    <dataValidation allowBlank="1" showInputMessage="1" showErrorMessage="1" prompt="El tiempo de clase va en esta fila, empezando en la celda hasta la derecha_x000a_" sqref="A14 A16" xr:uid="{40B2CD08-6B19-4BC4-9B54-A90DFCD754C6}"/>
    <dataValidation allowBlank="1" showInputMessage="1" showErrorMessage="1" prompt="El día de la semana va en esta fila, empezando en la celda B11" sqref="A13" xr:uid="{D5593762-90AE-4619-8D8D-B236E007D244}"/>
  </dataValidations>
  <printOptions horizontalCentered="1" verticalCentered="1"/>
  <pageMargins left="0.5" right="0.5" top="0.5" bottom="0.5" header="0.3" footer="0.3"/>
  <pageSetup paperSize="9" scale="58"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3:L16"/>
  <sheetViews>
    <sheetView showGridLines="0" showRowColHeaders="0" zoomScale="90" zoomScaleNormal="90" zoomScalePageLayoutView="84" workbookViewId="0"/>
  </sheetViews>
  <sheetFormatPr baseColWidth="10" defaultColWidth="8.59765625" defaultRowHeight="30" customHeight="1"/>
  <cols>
    <col min="1" max="1" width="2.59765625" customWidth="1"/>
    <col min="2" max="2" width="20.59765625" customWidth="1"/>
    <col min="3" max="8" width="10.59765625" customWidth="1"/>
    <col min="9" max="9" width="20.59765625" customWidth="1"/>
    <col min="10" max="11" width="10.59765625" customWidth="1"/>
    <col min="12" max="12" width="70.59765625" customWidth="1"/>
    <col min="13" max="13" width="2.59765625" customWidth="1"/>
  </cols>
  <sheetData>
    <row r="3" spans="1:12" ht="30" customHeight="1">
      <c r="B3" s="8">
        <f>AñoCalendario</f>
        <v>2026</v>
      </c>
      <c r="J3" s="15" t="s">
        <v>0</v>
      </c>
      <c r="K3" s="15" t="s">
        <v>1</v>
      </c>
      <c r="L3" s="25" t="s">
        <v>21</v>
      </c>
    </row>
    <row r="4" spans="1:12" ht="30" customHeight="1">
      <c r="A4" s="9"/>
      <c r="B4" s="28" t="s">
        <v>17</v>
      </c>
      <c r="C4" s="5" t="s">
        <v>3</v>
      </c>
      <c r="D4" s="5" t="s">
        <v>4</v>
      </c>
      <c r="E4" s="5" t="s">
        <v>5</v>
      </c>
      <c r="F4" s="5" t="s">
        <v>6</v>
      </c>
      <c r="G4" s="5" t="s">
        <v>7</v>
      </c>
      <c r="H4" s="5" t="s">
        <v>8</v>
      </c>
      <c r="I4" s="5" t="s">
        <v>9</v>
      </c>
      <c r="J4" s="47" t="s">
        <v>30</v>
      </c>
      <c r="K4" s="45">
        <v>30</v>
      </c>
      <c r="L4" s="44" t="s">
        <v>28</v>
      </c>
    </row>
    <row r="5" spans="1:12" ht="30" customHeight="1">
      <c r="A5" s="9"/>
      <c r="C5" s="21">
        <f>IF(DAY(SepSun1)=1,SepSun1-6,SepSun1+1)</f>
        <v>46265</v>
      </c>
      <c r="D5" s="21">
        <f>IF(DAY(SepSun1)=1,SepSun1-5,SepSun1+2)</f>
        <v>46266</v>
      </c>
      <c r="E5" s="21">
        <f>IF(DAY(SepSun1)=1,SepSun1-4,SepSun1+3)</f>
        <v>46267</v>
      </c>
      <c r="F5" s="21">
        <f>IF(DAY(SepSun1)=1,SepSun1-3,SepSun1+4)</f>
        <v>46268</v>
      </c>
      <c r="G5" s="21">
        <f>IF(DAY(SepSun1)=1,SepSun1-2,SepSun1+5)</f>
        <v>46269</v>
      </c>
      <c r="H5" s="21">
        <f>IF(DAY(SepSun1)=1,SepSun1-1,SepSun1+6)</f>
        <v>46270</v>
      </c>
      <c r="I5" s="21">
        <f>IF(DAY(SepSun1)=1,SepSun1,SepSun1+7)</f>
        <v>46271</v>
      </c>
      <c r="J5" s="7"/>
      <c r="K5" s="2"/>
    </row>
    <row r="6" spans="1:12" ht="30" customHeight="1">
      <c r="A6" s="9"/>
      <c r="C6" s="21">
        <f>IF(DAY(SepSun1)=1,SepSun1+1,SepSun1+8)</f>
        <v>46272</v>
      </c>
      <c r="D6" s="21">
        <f>IF(DAY(SepSun1)=1,SepSun1+2,SepSun1+9)</f>
        <v>46273</v>
      </c>
      <c r="E6" s="21">
        <f>IF(DAY(SepSun1)=1,SepSun1+3,SepSun1+10)</f>
        <v>46274</v>
      </c>
      <c r="F6" s="21">
        <f>IF(DAY(SepSun1)=1,SepSun1+4,SepSun1+11)</f>
        <v>46275</v>
      </c>
      <c r="G6" s="21">
        <f>IF(DAY(SepSun1)=1,SepSun1+5,SepSun1+12)</f>
        <v>46276</v>
      </c>
      <c r="H6" s="21">
        <f>IF(DAY(SepSun1)=1,SepSun1+6,SepSun1+13)</f>
        <v>46277</v>
      </c>
      <c r="I6" s="21">
        <f>IF(DAY(SepSun1)=1,SepSun1+7,SepSun1+14)</f>
        <v>46278</v>
      </c>
      <c r="J6" s="7"/>
      <c r="K6" s="2"/>
    </row>
    <row r="7" spans="1:12" ht="30" customHeight="1">
      <c r="A7" s="9"/>
      <c r="C7" s="21">
        <f>IF(DAY(SepSun1)=1,SepSun1+8,SepSun1+15)</f>
        <v>46279</v>
      </c>
      <c r="D7" s="21">
        <f>IF(DAY(SepSun1)=1,SepSun1+9,SepSun1+16)</f>
        <v>46280</v>
      </c>
      <c r="E7" s="21">
        <f>IF(DAY(SepSun1)=1,SepSun1+10,SepSun1+17)</f>
        <v>46281</v>
      </c>
      <c r="F7" s="21">
        <f>IF(DAY(SepSun1)=1,SepSun1+11,SepSun1+18)</f>
        <v>46282</v>
      </c>
      <c r="G7" s="21">
        <f>IF(DAY(SepSun1)=1,SepSun1+12,SepSun1+19)</f>
        <v>46283</v>
      </c>
      <c r="H7" s="21">
        <f>IF(DAY(SepSun1)=1,SepSun1+13,SepSun1+20)</f>
        <v>46284</v>
      </c>
      <c r="I7" s="21">
        <f>IF(DAY(SepSun1)=1,SepSun1+14,SepSun1+21)</f>
        <v>46285</v>
      </c>
      <c r="J7" s="7"/>
      <c r="K7" s="2"/>
    </row>
    <row r="8" spans="1:12" ht="30" customHeight="1">
      <c r="A8" s="9"/>
      <c r="C8" s="21">
        <f>IF(DAY(SepSun1)=1,SepSun1+15,SepSun1+22)</f>
        <v>46286</v>
      </c>
      <c r="D8" s="21">
        <f>IF(DAY(SepSun1)=1,SepSun1+16,SepSun1+23)</f>
        <v>46287</v>
      </c>
      <c r="E8" s="21">
        <f>IF(DAY(SepSun1)=1,SepSun1+17,SepSun1+24)</f>
        <v>46288</v>
      </c>
      <c r="F8" s="21">
        <f>IF(DAY(SepSun1)=1,SepSun1+18,SepSun1+25)</f>
        <v>46289</v>
      </c>
      <c r="G8" s="21">
        <f>IF(DAY(SepSun1)=1,SepSun1+19,SepSun1+26)</f>
        <v>46290</v>
      </c>
      <c r="H8" s="21">
        <f>IF(DAY(SepSun1)=1,SepSun1+20,SepSun1+27)</f>
        <v>46291</v>
      </c>
      <c r="I8" s="21">
        <f>IF(DAY(SepSun1)=1,SepSun1+21,SepSun1+28)</f>
        <v>46292</v>
      </c>
      <c r="J8" s="7"/>
      <c r="K8" s="2"/>
    </row>
    <row r="9" spans="1:12" ht="30" customHeight="1">
      <c r="A9" s="9"/>
      <c r="C9" s="21">
        <f>IF(DAY(SepSun1)=1,SepSun1+22,SepSun1+29)</f>
        <v>46293</v>
      </c>
      <c r="D9" s="21">
        <f>IF(DAY(SepSun1)=1,SepSun1+23,SepSun1+30)</f>
        <v>46294</v>
      </c>
      <c r="E9" s="21">
        <f>IF(DAY(SepSun1)=1,SepSun1+24,SepSun1+31)</f>
        <v>46295</v>
      </c>
      <c r="F9" s="21">
        <f>IF(DAY(SepSun1)=1,SepSun1+25,SepSun1+32)</f>
        <v>46296</v>
      </c>
      <c r="G9" s="21">
        <f>IF(DAY(SepSun1)=1,SepSun1+26,SepSun1+33)</f>
        <v>46297</v>
      </c>
      <c r="H9" s="21">
        <f>IF(DAY(SepSun1)=1,SepSun1+27,SepSun1+34)</f>
        <v>46298</v>
      </c>
      <c r="I9" s="21">
        <f>IF(DAY(SepSun1)=1,SepSun1+28,SepSun1+35)</f>
        <v>46299</v>
      </c>
      <c r="J9" s="1"/>
      <c r="K9" s="14"/>
    </row>
    <row r="10" spans="1:12" ht="30" customHeight="1">
      <c r="A10" s="9"/>
      <c r="B10" s="12"/>
      <c r="C10" s="21">
        <f>IF(DAY(SepSun1)=1,SepSun1+29,SepSun1+36)</f>
        <v>46300</v>
      </c>
      <c r="D10" s="21">
        <f>IF(DAY(SepSun1)=1,SepSun1+30,SepSun1+37)</f>
        <v>46301</v>
      </c>
      <c r="E10" s="21">
        <f>IF(DAY(SepSun1)=1,SepSun1+31,SepSun1+38)</f>
        <v>46302</v>
      </c>
      <c r="F10" s="21">
        <f>IF(DAY(SepSun1)=1,SepSun1+32,SepSun1+39)</f>
        <v>46303</v>
      </c>
      <c r="G10" s="21">
        <f>IF(DAY(SepSun1)=1,SepSun1+33,SepSun1+40)</f>
        <v>46304</v>
      </c>
      <c r="H10" s="21">
        <f>IF(DAY(SepSun1)=1,SepSun1+34,SepSun1+41)</f>
        <v>46305</v>
      </c>
      <c r="I10" s="21">
        <f>IF(DAY(SepSun1)=1,SepSun1+35,SepSun1+42)</f>
        <v>46306</v>
      </c>
      <c r="J10" s="7"/>
      <c r="K10" s="17"/>
    </row>
    <row r="11" spans="1:12" ht="30" customHeight="1">
      <c r="A11" s="9"/>
      <c r="C11" s="3"/>
      <c r="D11" s="3"/>
      <c r="E11" s="3"/>
      <c r="F11" s="3"/>
      <c r="G11" s="3"/>
      <c r="H11" s="3"/>
      <c r="I11" s="3"/>
      <c r="J11" s="7"/>
      <c r="K11" s="2"/>
    </row>
    <row r="12" spans="1:12" ht="30" customHeight="1">
      <c r="A12" s="9"/>
      <c r="B12" s="11"/>
      <c r="C12" s="6"/>
      <c r="D12" s="6"/>
      <c r="E12" s="6"/>
      <c r="F12" s="6"/>
      <c r="G12" s="6"/>
      <c r="H12" s="6"/>
      <c r="I12" s="6"/>
      <c r="J12" s="7"/>
      <c r="K12" s="2"/>
    </row>
    <row r="13" spans="1:12" ht="30" customHeight="1">
      <c r="A13" s="18"/>
      <c r="B13" s="39"/>
      <c r="C13" s="56"/>
      <c r="D13" s="56"/>
      <c r="E13" s="56"/>
      <c r="F13" s="56"/>
      <c r="G13" s="56"/>
      <c r="H13" s="56"/>
      <c r="I13" s="38"/>
      <c r="J13" s="7"/>
      <c r="K13" s="2"/>
    </row>
    <row r="14" spans="1:12" ht="30" customHeight="1">
      <c r="A14" s="18"/>
      <c r="B14" s="33"/>
      <c r="C14" s="57"/>
      <c r="D14" s="57"/>
      <c r="E14" s="57"/>
      <c r="F14" s="57"/>
      <c r="G14" s="57"/>
      <c r="H14" s="57"/>
      <c r="I14" s="40"/>
      <c r="J14" s="7"/>
      <c r="K14" s="2"/>
    </row>
    <row r="15" spans="1:12" ht="30" customHeight="1">
      <c r="A15" s="18"/>
      <c r="B15" s="35"/>
      <c r="C15" s="58"/>
      <c r="D15" s="58"/>
      <c r="E15" s="58"/>
      <c r="F15" s="58"/>
      <c r="G15" s="58"/>
      <c r="H15" s="58"/>
      <c r="I15" s="36"/>
      <c r="J15" s="1"/>
      <c r="K15" s="14"/>
      <c r="L15" s="13"/>
    </row>
    <row r="16" spans="1:12" ht="30" customHeight="1">
      <c r="A16" s="18"/>
      <c r="B16" s="50"/>
      <c r="C16" s="61"/>
      <c r="D16" s="61"/>
      <c r="E16" s="61"/>
      <c r="F16" s="61"/>
      <c r="G16" s="61"/>
      <c r="H16" s="61"/>
      <c r="I16" s="52"/>
      <c r="J16" s="7"/>
      <c r="K16" s="17"/>
    </row>
  </sheetData>
  <sheetProtection algorithmName="SHA-512" hashValue="XHHYXY1ZHO6kcfrLrXde06ozy4HpKzZeTr+2Ovol0iv+F4wc34eUckRKh202zldzgbhMZu90FhB8brd92YIJkA==" saltValue="7B7yp8yeikYbFnfOru7kXw==" spinCount="100000" sheet="1" objects="1" scenarios="1"/>
  <mergeCells count="12">
    <mergeCell ref="C15:D15"/>
    <mergeCell ref="E15:F15"/>
    <mergeCell ref="G15:H15"/>
    <mergeCell ref="C16:D16"/>
    <mergeCell ref="E16:F16"/>
    <mergeCell ref="G16:H16"/>
    <mergeCell ref="C13:D13"/>
    <mergeCell ref="E13:F13"/>
    <mergeCell ref="G13:H13"/>
    <mergeCell ref="C14:D14"/>
    <mergeCell ref="E14:F14"/>
    <mergeCell ref="G14:H14"/>
  </mergeCells>
  <conditionalFormatting sqref="B14:I14 B16:I16">
    <cfRule type="expression" dxfId="28" priority="3">
      <formula>B14&lt;&gt;""</formula>
    </cfRule>
  </conditionalFormatting>
  <conditionalFormatting sqref="B14:I16">
    <cfRule type="expression" dxfId="27" priority="1">
      <formula>COLUMN(B14)&gt;2</formula>
    </cfRule>
  </conditionalFormatting>
  <conditionalFormatting sqref="B15:I15">
    <cfRule type="expression" dxfId="26" priority="2">
      <formula>COLUMN(B15)&gt;=2</formula>
    </cfRule>
    <cfRule type="expression" dxfId="25" priority="4">
      <formula>B15&lt;&gt;""</formula>
    </cfRule>
  </conditionalFormatting>
  <conditionalFormatting sqref="C5:H5">
    <cfRule type="expression" dxfId="24" priority="6" stopIfTrue="1">
      <formula>DAY(C5)&gt;8</formula>
    </cfRule>
  </conditionalFormatting>
  <conditionalFormatting sqref="C5:I10">
    <cfRule type="expression" dxfId="23" priority="7">
      <formula>VLOOKUP(DAY(C5),AssignmentDays,1,FALSE)=DAY(C5)</formula>
    </cfRule>
  </conditionalFormatting>
  <conditionalFormatting sqref="C9:I10">
    <cfRule type="expression" dxfId="22" priority="5" stopIfTrue="1">
      <formula>AND(DAY(C9)&gt;=1,DAY(C9)&lt;=15)</formula>
    </cfRule>
  </conditionalFormatting>
  <dataValidations count="16">
    <dataValidation allowBlank="1" showInputMessage="1" showErrorMessage="1" prompt="Escriba la clase en esta fila, de la columna B a la I." sqref="B15" xr:uid="{00000000-0002-0000-0800-000000000000}"/>
    <dataValidation allowBlank="1" showInputMessage="1" showErrorMessage="1" prompt="Escriba la hora en esta fila, de la columna B a la I" sqref="B14" xr:uid="{00000000-0002-0000-0800-000001000000}"/>
    <dataValidation allowBlank="1" showInputMessage="1" showErrorMessage="1" prompt="Si esta fila contiene un número menor que el número o la fila de números anterior, en ese caso, esta fila contiene fechas para el próximo mes del calendario." sqref="C10" xr:uid="{00000000-0002-0000-0800-000002000000}"/>
    <dataValidation allowBlank="1" showInputMessage="1" showErrorMessage="1" prompt="Si esta celda no contiene el número 1, se trata de un día de del mes anterior. Las celdas C3 a I8 contienen fechas para el mes actual" sqref="C5" xr:uid="{00000000-0002-0000-0800-000003000000}"/>
    <dataValidation allowBlank="1" showInputMessage="1" showErrorMessage="1" prompt="Las celdas C2 a I2 contienen días de la semana." sqref="C4" xr:uid="{00000000-0002-0000-0800-000004000000}"/>
    <dataValidation allowBlank="1" showInputMessage="1" showErrorMessage="1" prompt="Prepare una programación semanal y cree una lista de tareas en esta hoja de cálculo. Las tareas se resaltan automáticamente en el calendario mensual para el año que indique en la celda B1 de la hoja de cálculo ene." sqref="A3" xr:uid="{00000000-0002-0000-0800-000005000000}"/>
    <dataValidation allowBlank="1" showInputMessage="1" showErrorMessage="1" prompt="Se actualiza automáticamente el año natural. Para cambiar el año, actualice la celda B1 en la hoja de cálculo ene" sqref="B3" xr:uid="{00000000-0002-0000-0800-000006000000}"/>
    <dataValidation allowBlank="1" showInputMessage="1" showErrorMessage="1" prompt="El calendario de septiembre resalta automáticamente las entradas de la lista de tareas para el mes. Las fuentes más oscuras indican tareas. Las fuentes más claras indican días que pertenecen al mes anterior o al mes siguiente" sqref="B4" xr:uid="{00000000-0002-0000-0800-000007000000}"/>
    <dataValidation allowBlank="1" showInputMessage="1" showErrorMessage="1" prompt="Los días de la semana se agrupan en esta columna con 6 filas para las tareas por cada día laborable agrupado del mes. Inserte nuevas filas para agregar más tareas. El calendario de la izquierda resaltará elementos." sqref="J3" xr:uid="{00000000-0002-0000-0800-000008000000}"/>
    <dataValidation allowBlank="1" showInputMessage="1" showErrorMessage="1" prompt="Escriba en esta columna los detalles de la tarea correspondientes al día de la semana en la columna J y al día en la columna K del mes calendario de la izquierda." sqref="L3" xr:uid="{00000000-0002-0000-0800-000009000000}"/>
    <dataValidation allowBlank="1" showInputMessage="1" showErrorMessage="1" prompt="Escriba en esta columna el día de la tarea del mes que corresponda al día de la semana en la columna J. Esta fecha resaltará la tarea en el calendario de la izquierda" sqref="K3" xr:uid="{00000000-0002-0000-0800-00000A000000}"/>
    <dataValidation allowBlank="1" showInputMessage="1" showErrorMessage="1" prompt="Los días de la semana se encuentran en esta fila, del lunes al viernes." sqref="B13" xr:uid="{00000000-0002-0000-0800-00000B000000}"/>
    <dataValidation allowBlank="1" showInputMessage="1" showErrorMessage="1" prompt="Escriba la hora de la clase y debajo, en una nueva fila, el nombre de clase para cada día de la semana en las columnas de la B a la I. Repita este patrón para todas las clases en las filas posteriores." sqref="B12" xr:uid="{00000000-0002-0000-0800-00000C000000}"/>
    <dataValidation allowBlank="1" showInputMessage="1" showErrorMessage="1" prompt="El nombre de la clase va en esta fila, empezando en la celda a la derecha" sqref="A15" xr:uid="{E8F95D67-244A-44F5-A7C7-5CEFF0187024}"/>
    <dataValidation allowBlank="1" showInputMessage="1" showErrorMessage="1" prompt="El tiempo de clase va en esta fila, empezando en la celda hasta la derecha_x000a_" sqref="A14 A16" xr:uid="{65E086FF-5098-4375-BC3F-C5146B03E93E}"/>
    <dataValidation allowBlank="1" showInputMessage="1" showErrorMessage="1" prompt="El día de la semana va en esta fila, empezando en la celda B11" sqref="A13" xr:uid="{7DA4EAB2-0BEA-4CB1-8007-CAB0F10D0BF0}"/>
  </dataValidations>
  <printOptions horizontalCentered="1" verticalCentered="1"/>
  <pageMargins left="0.5" right="0.5" top="0.5" bottom="0.5" header="0.3" footer="0.3"/>
  <pageSetup paperSize="9" scale="58"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402BA-6B95-420F-84CD-6A15D428F062}">
  <ds:schemaRefs>
    <ds:schemaRef ds:uri="http://schemas.microsoft.com/sharepoint/v3/contenttype/forms"/>
  </ds:schemaRefs>
</ds:datastoreItem>
</file>

<file path=customXml/itemProps2.xml><?xml version="1.0" encoding="utf-8"?>
<ds:datastoreItem xmlns:ds="http://schemas.openxmlformats.org/officeDocument/2006/customXml" ds:itemID="{BC967BB1-6EDE-4949-A4B0-E964179212C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FDC7C6F0-C0A2-4244-8687-9C5402775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TM03107663</Templat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61</vt:i4>
      </vt:variant>
    </vt:vector>
  </HeadingPairs>
  <TitlesOfParts>
    <vt:vector size="73" baseType="lpstr">
      <vt:lpstr>Ene</vt:lpstr>
      <vt:lpstr>Feb</vt:lpstr>
      <vt:lpstr>Mar</vt:lpstr>
      <vt:lpstr>Abr</vt:lpstr>
      <vt:lpstr>May</vt:lpstr>
      <vt:lpstr>Jun</vt:lpstr>
      <vt:lpstr>Jul</vt:lpstr>
      <vt:lpstr>Ago</vt:lpstr>
      <vt:lpstr>Sep</vt:lpstr>
      <vt:lpstr>Oct</vt:lpstr>
      <vt:lpstr>Nov</vt:lpstr>
      <vt:lpstr>Dic</vt:lpstr>
      <vt:lpstr>AñoCalendario</vt:lpstr>
      <vt:lpstr>Abr!AssignmentDays</vt:lpstr>
      <vt:lpstr>Ago!AssignmentDays</vt:lpstr>
      <vt:lpstr>Dic!AssignmentDays</vt:lpstr>
      <vt:lpstr>Feb!AssignmentDays</vt:lpstr>
      <vt:lpstr>Jul!AssignmentDays</vt:lpstr>
      <vt:lpstr>Jun!AssignmentDays</vt:lpstr>
      <vt:lpstr>Mar!AssignmentDays</vt:lpstr>
      <vt:lpstr>May!AssignmentDays</vt:lpstr>
      <vt:lpstr>Nov!AssignmentDays</vt:lpstr>
      <vt:lpstr>Oct!AssignmentDays</vt:lpstr>
      <vt:lpstr>Sep!AssignmentDays</vt:lpstr>
      <vt:lpstr>AssignmentDays</vt:lpstr>
      <vt:lpstr>ColumnTitle1</vt:lpstr>
      <vt:lpstr>ColumnTitle4</vt:lpstr>
      <vt:lpstr>ColumnTitle5</vt:lpstr>
      <vt:lpstr>ColumnTitle6</vt:lpstr>
      <vt:lpstr>ColumnTitle7</vt:lpstr>
      <vt:lpstr>ColumnTitle8</vt:lpstr>
      <vt:lpstr>ColumnTitleRegion1..I8.1</vt:lpstr>
      <vt:lpstr>ColumnTitleRegion1..I8.10</vt:lpstr>
      <vt:lpstr>ColumnTitleRegion1..I8.11</vt:lpstr>
      <vt:lpstr>ColumnTitleRegion1..I8.12</vt:lpstr>
      <vt:lpstr>ColumnTitleRegion1..I8.2</vt:lpstr>
      <vt:lpstr>ColumnTitleRegion1..I8.3</vt:lpstr>
      <vt:lpstr>ColumnTitleRegion1..I8.4</vt:lpstr>
      <vt:lpstr>ColumnTitleRegion1..I8.5</vt:lpstr>
      <vt:lpstr>ColumnTitleRegion1..I8.6</vt:lpstr>
      <vt:lpstr>ColumnTitleRegion1..I8.7</vt:lpstr>
      <vt:lpstr>ColumnTitleRegion1..I8.8</vt:lpstr>
      <vt:lpstr>ColumnTitleRegion1..I8.9</vt:lpstr>
      <vt:lpstr>Abr!ImportantDatesTable</vt:lpstr>
      <vt:lpstr>Ago!ImportantDatesTable</vt:lpstr>
      <vt:lpstr>Dic!ImportantDatesTable</vt:lpstr>
      <vt:lpstr>Feb!ImportantDatesTable</vt:lpstr>
      <vt:lpstr>Jul!ImportantDatesTable</vt:lpstr>
      <vt:lpstr>Jun!ImportantDatesTable</vt:lpstr>
      <vt:lpstr>Mar!ImportantDatesTable</vt:lpstr>
      <vt:lpstr>May!ImportantDatesTable</vt:lpstr>
      <vt:lpstr>Nov!ImportantDatesTable</vt:lpstr>
      <vt:lpstr>Oct!ImportantDatesTable</vt:lpstr>
      <vt:lpstr>Sep!ImportantDatesTable</vt:lpstr>
      <vt:lpstr>ImportantDatesTable</vt:lpstr>
      <vt:lpstr>RegiónDeTítulo2..I31.2</vt:lpstr>
      <vt:lpstr>RegiónDeTítulo2..I31.6</vt:lpstr>
      <vt:lpstr>RegiónDeTítulo2..I31.7</vt:lpstr>
      <vt:lpstr>RegiónDeTítulo2..I31.8</vt:lpstr>
      <vt:lpstr>RegiónDeTítulo2..I31.9</vt:lpstr>
      <vt:lpstr>TitleRegion2..I31.1</vt:lpstr>
      <vt:lpstr>TitleRegion2..I31.10</vt:lpstr>
      <vt:lpstr>TitleRegion2..I31.11</vt:lpstr>
      <vt:lpstr>TitleRegion2..I31.12</vt:lpstr>
      <vt:lpstr>TitleRegion2..I31.3</vt:lpstr>
      <vt:lpstr>TitleRegion2..I31.4</vt:lpstr>
      <vt:lpstr>TitleRegion2..I31.5</vt:lpstr>
      <vt:lpstr>TítuloDeColumna10</vt:lpstr>
      <vt:lpstr>TítuloDeColumna11</vt:lpstr>
      <vt:lpstr>TítuloDeColumna12</vt:lpstr>
      <vt:lpstr>TítuloDeColumna2</vt:lpstr>
      <vt:lpstr>TítuloDeColumna3</vt:lpstr>
      <vt:lpstr>TítuloDeColumna9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2026-02-18T15:22:07Z</dcterms:created>
  <dcterms:modified xsi:type="dcterms:W3CDTF">2026-02-19T14:25:33Z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